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charts/chart2.xml" ContentType="application/vnd.openxmlformats-officedocument.drawingml.chart+xml"/>
  <Override PartName="/xl/charts/chart3.xml" ContentType="application/vnd.openxmlformats-officedocument.drawingml.char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240" yWindow="105" windowWidth="20955" windowHeight="9465" activeTab="3"/>
  </bookViews>
  <sheets>
    <sheet name="summary_loads" sheetId="15" r:id="rId1"/>
    <sheet name="coefficients" sheetId="17" r:id="rId2"/>
    <sheet name="MGIS_LU" sheetId="18" r:id="rId3"/>
    <sheet name="Readme" sheetId="19" r:id="rId4"/>
  </sheets>
  <definedNames>
    <definedName name="LOTSIZE">#REF!</definedName>
    <definedName name="LOTSIZEBIN">#REF!</definedName>
    <definedName name="Sub_units">#REF!</definedName>
    <definedName name="UNITS">#REF!</definedName>
  </definedNames>
  <calcPr calcId="125725"/>
</workbook>
</file>

<file path=xl/calcChain.xml><?xml version="1.0" encoding="utf-8"?>
<calcChain xmlns="http://schemas.openxmlformats.org/spreadsheetml/2006/main">
  <c r="D8" i="17"/>
  <c r="J5" i="15"/>
  <c r="A18" i="17"/>
  <c r="A20"/>
  <c r="I15" i="15"/>
  <c r="N6"/>
  <c r="P6"/>
  <c r="R6"/>
  <c r="E5" a="1"/>
  <c r="E5" s="1"/>
  <c r="L6" l="1"/>
  <c r="O6"/>
  <c r="M6"/>
  <c r="E6"/>
  <c r="K5"/>
  <c r="D15" i="17"/>
  <c r="N8" i="15"/>
  <c r="O8"/>
  <c r="M8"/>
  <c r="J8"/>
  <c r="J10" s="1"/>
  <c r="C13" i="17"/>
  <c r="C12"/>
  <c r="D12" s="1"/>
  <c r="G8" i="15" s="1"/>
  <c r="C11" i="17"/>
  <c r="D11" s="1"/>
  <c r="H8" i="15" s="1"/>
  <c r="C14" i="17"/>
  <c r="D14" s="1"/>
  <c r="E8" i="15" s="1"/>
  <c r="D13" i="17"/>
  <c r="D8" i="15" s="1"/>
  <c r="D10" i="17"/>
  <c r="C10" s="1"/>
  <c r="C9"/>
  <c r="F7"/>
  <c r="C7"/>
  <c r="C6"/>
  <c r="C5"/>
  <c r="D4"/>
  <c r="C4" s="1"/>
  <c r="D3"/>
  <c r="C3" s="1"/>
  <c r="P10" i="15"/>
  <c r="I6"/>
  <c r="H6"/>
  <c r="F5"/>
  <c r="G5" s="1"/>
  <c r="C6"/>
  <c r="D6"/>
  <c r="S6"/>
  <c r="C15" i="17" l="1"/>
  <c r="A21"/>
  <c r="M10" i="15"/>
  <c r="E14" s="1"/>
  <c r="P11"/>
  <c r="N10"/>
  <c r="E10"/>
  <c r="G6"/>
  <c r="H10"/>
  <c r="D10"/>
  <c r="G10"/>
  <c r="C8"/>
  <c r="L8"/>
  <c r="F8"/>
  <c r="K8"/>
  <c r="C8" i="17"/>
  <c r="G14" i="15"/>
  <c r="O10"/>
  <c r="H14" s="1"/>
  <c r="K6"/>
  <c r="J6"/>
  <c r="F6"/>
  <c r="E18" l="1"/>
  <c r="E19" s="1"/>
  <c r="E15"/>
  <c r="H15"/>
  <c r="G15"/>
  <c r="J11"/>
  <c r="M11"/>
  <c r="H11"/>
  <c r="G11"/>
  <c r="K10"/>
  <c r="C10"/>
  <c r="F10"/>
  <c r="L10"/>
  <c r="D11"/>
  <c r="G18"/>
  <c r="G19" s="1"/>
  <c r="H18"/>
  <c r="O11"/>
  <c r="E11"/>
  <c r="N11"/>
  <c r="F14" l="1"/>
  <c r="K11"/>
  <c r="H19"/>
  <c r="L11"/>
  <c r="C11"/>
  <c r="F11"/>
  <c r="I10"/>
  <c r="C14"/>
  <c r="F15" l="1"/>
  <c r="R10"/>
  <c r="D14"/>
  <c r="I11"/>
  <c r="R11" s="1"/>
  <c r="F18"/>
  <c r="F19" s="1"/>
  <c r="C18"/>
  <c r="C15"/>
  <c r="J14"/>
  <c r="D18" l="1"/>
  <c r="D19" s="1"/>
  <c r="D15"/>
  <c r="C19"/>
  <c r="J15"/>
  <c r="I18"/>
  <c r="T10" l="1"/>
  <c r="T11" s="1"/>
  <c r="I19"/>
  <c r="E20" l="1"/>
  <c r="J18"/>
  <c r="D20"/>
  <c r="F20"/>
  <c r="H20"/>
  <c r="I20"/>
  <c r="G20"/>
  <c r="C20"/>
  <c r="B36" s="1"/>
  <c r="J19"/>
</calcChain>
</file>

<file path=xl/comments1.xml><?xml version="1.0" encoding="utf-8"?>
<comments xmlns="http://schemas.openxmlformats.org/spreadsheetml/2006/main">
  <authors>
    <author>J</author>
  </authors>
  <commentList>
    <comment ref="E4" authorId="0">
      <text>
        <r>
          <rPr>
            <b/>
            <sz val="8"/>
            <color indexed="81"/>
            <rFont val="Tahoma"/>
            <family val="2"/>
          </rPr>
          <t>J:</t>
        </r>
        <r>
          <rPr>
            <sz val="8"/>
            <color indexed="81"/>
            <rFont val="Tahoma"/>
            <family val="2"/>
          </rPr>
          <t xml:space="preserve">
Formulas in this column must be array formulas</t>
        </r>
      </text>
    </comment>
    <comment ref="L4" authorId="0">
      <text>
        <r>
          <rPr>
            <b/>
            <sz val="8"/>
            <color indexed="81"/>
            <rFont val="Tahoma"/>
            <family val="2"/>
          </rPr>
          <t>J:</t>
        </r>
        <r>
          <rPr>
            <sz val="8"/>
            <color indexed="81"/>
            <rFont val="Tahoma"/>
            <family val="2"/>
          </rPr>
          <t xml:space="preserve">
Formulas in this column must be array formulas</t>
        </r>
      </text>
    </comment>
    <comment ref="M4" authorId="0">
      <text>
        <r>
          <rPr>
            <b/>
            <sz val="8"/>
            <color indexed="81"/>
            <rFont val="Tahoma"/>
            <family val="2"/>
          </rPr>
          <t>J:</t>
        </r>
        <r>
          <rPr>
            <sz val="8"/>
            <color indexed="81"/>
            <rFont val="Tahoma"/>
            <family val="2"/>
          </rPr>
          <t xml:space="preserve">
Formulas in this column must be array formulas. The logical test is for either crop or orchard.
</t>
        </r>
      </text>
    </comment>
    <comment ref="N4" authorId="0">
      <text>
        <r>
          <rPr>
            <b/>
            <sz val="8"/>
            <color indexed="81"/>
            <rFont val="Tahoma"/>
            <family val="2"/>
          </rPr>
          <t>J:</t>
        </r>
        <r>
          <rPr>
            <sz val="8"/>
            <color indexed="81"/>
            <rFont val="Tahoma"/>
            <family val="2"/>
          </rPr>
          <t xml:space="preserve">
Formulas in this column must be array formulas</t>
        </r>
      </text>
    </comment>
    <comment ref="O4" authorId="0">
      <text>
        <r>
          <rPr>
            <b/>
            <sz val="8"/>
            <color indexed="81"/>
            <rFont val="Tahoma"/>
            <family val="2"/>
          </rPr>
          <t>J:</t>
        </r>
        <r>
          <rPr>
            <sz val="8"/>
            <color indexed="81"/>
            <rFont val="Tahoma"/>
            <family val="2"/>
          </rPr>
          <t xml:space="preserve">
Formulas in this column must be array formulas</t>
        </r>
      </text>
    </comment>
    <comment ref="A8" authorId="0">
      <text>
        <r>
          <rPr>
            <b/>
            <sz val="8"/>
            <color indexed="81"/>
            <rFont val="Tahoma"/>
            <charset val="1"/>
          </rPr>
          <t>J:</t>
        </r>
        <r>
          <rPr>
            <sz val="8"/>
            <color indexed="81"/>
            <rFont val="Tahoma"/>
            <charset val="1"/>
          </rPr>
          <t xml:space="preserve">
This row is for display purposes, change values on coefficients tab instead.</t>
        </r>
      </text>
    </comment>
    <comment ref="Q9" authorId="0">
      <text>
        <r>
          <rPr>
            <b/>
            <sz val="8"/>
            <color indexed="81"/>
            <rFont val="Tahoma"/>
            <family val="2"/>
          </rPr>
          <t>J:</t>
        </r>
        <r>
          <rPr>
            <sz val="8"/>
            <color indexed="81"/>
            <rFont val="Tahoma"/>
            <family val="2"/>
          </rPr>
          <t xml:space="preserve">
Estimates from MEP</t>
        </r>
      </text>
    </comment>
  </commentList>
</comments>
</file>

<file path=xl/sharedStrings.xml><?xml version="1.0" encoding="utf-8"?>
<sst xmlns="http://schemas.openxmlformats.org/spreadsheetml/2006/main" count="147" uniqueCount="126">
  <si>
    <t>SUB ID</t>
  </si>
  <si>
    <t>NET N Trans</t>
  </si>
  <si>
    <t>Grand Total</t>
  </si>
  <si>
    <t>unatten lbs loading</t>
  </si>
  <si>
    <t>lbs/acre=</t>
  </si>
  <si>
    <t>pasture acres</t>
  </si>
  <si>
    <t>estuary acres</t>
  </si>
  <si>
    <t>freshwater acres</t>
  </si>
  <si>
    <t>cranberry acres</t>
  </si>
  <si>
    <t>animal units</t>
  </si>
  <si>
    <t>Land+ Estuary Acres</t>
  </si>
  <si>
    <t>Land (inc FW) Acres</t>
  </si>
  <si>
    <t>Sum of septic units</t>
  </si>
  <si>
    <t>road acres</t>
  </si>
  <si>
    <t>non-road imperv</t>
  </si>
  <si>
    <t>non-road imprv parking</t>
  </si>
  <si>
    <t>non-road imprv roof</t>
  </si>
  <si>
    <t>natural landscp  acres</t>
  </si>
  <si>
    <t>No. of Buildings (for lawns)</t>
  </si>
  <si>
    <t>lawn size (sq dt)</t>
  </si>
  <si>
    <t>total runoff</t>
  </si>
  <si>
    <t>Subwatershed Loading (values in lbs unless specified)</t>
  </si>
  <si>
    <t>Subwatershed Lanuse (values in acres unless specified)</t>
  </si>
  <si>
    <t>road runoff</t>
  </si>
  <si>
    <t>precip to estuary load</t>
  </si>
  <si>
    <t>roof runoff</t>
  </si>
  <si>
    <t xml:space="preserve">parking runoff </t>
  </si>
  <si>
    <t>Grand Total (lbs)</t>
  </si>
  <si>
    <t>cropland+ orchard acres</t>
  </si>
  <si>
    <t>precip to FW load</t>
  </si>
  <si>
    <t>lawn fertilizer</t>
  </si>
  <si>
    <t>septic systems</t>
  </si>
  <si>
    <t>precip on natural surface</t>
  </si>
  <si>
    <t>precip runoff</t>
  </si>
  <si>
    <t>lawns</t>
  </si>
  <si>
    <t>golf courses</t>
  </si>
  <si>
    <t>pasture load</t>
  </si>
  <si>
    <t>cropland+ orchard load</t>
  </si>
  <si>
    <t>cranberry load</t>
  </si>
  <si>
    <t>natural land scapes</t>
  </si>
  <si>
    <t>atten lbs loading</t>
  </si>
  <si>
    <t>CSOs and WWTF</t>
  </si>
  <si>
    <t>unatten total</t>
  </si>
  <si>
    <t>attenuated total</t>
  </si>
  <si>
    <t>% of total</t>
  </si>
  <si>
    <t>Prepared by Dr. Joe Costa, Buzzards Bay NEP</t>
  </si>
  <si>
    <t>percent of total</t>
  </si>
  <si>
    <t>MEP Loading Coeeficient</t>
  </si>
  <si>
    <t>The BBNEP has adopted the MEP loading rates in this table.</t>
  </si>
  <si>
    <t>Category</t>
  </si>
  <si>
    <t>MassGIS land Use #</t>
  </si>
  <si>
    <t>(kg/ha unless spec.)</t>
  </si>
  <si>
    <t>(lb/ac unless spec.)</t>
  </si>
  <si>
    <t>comments</t>
  </si>
  <si>
    <t>cranberry bogs</t>
  </si>
  <si>
    <t>21 or 23</t>
  </si>
  <si>
    <t>cropland, various (except Pasture)</t>
  </si>
  <si>
    <t>Pasture</t>
  </si>
  <si>
    <t>Nurseries</t>
  </si>
  <si>
    <t>inc in 21, or 36</t>
  </si>
  <si>
    <t>mep</t>
  </si>
  <si>
    <t>Residential fertilized lawns, per 5,000 sq, ft lawn</t>
  </si>
  <si>
    <t>use parcel data</t>
  </si>
  <si>
    <t>na</t>
  </si>
  <si>
    <t>Golf Courses</t>
  </si>
  <si>
    <t>Spectator Recreation</t>
  </si>
  <si>
    <t>Impervious, road run off</t>
  </si>
  <si>
    <t>18, and sewered 16 and roads</t>
  </si>
  <si>
    <t>Impervious, roof run off</t>
  </si>
  <si>
    <t>Same assumption as for roads, except nitrogen concentration assumed to be 0.75</t>
  </si>
  <si>
    <t>Deposition on embayments (SW) and FW ponds</t>
  </si>
  <si>
    <t>The BBNEP ignored atmospheric deposition on freshwater ponds, presuming that little reached coastal waters, thus the original BBNEP value is for embayment deposition only.  The MEP uses an atmospheric N concentration of 1.09 for both and only 90% of annual precipitation to calculate loading.</t>
  </si>
  <si>
    <t>Natural Landscapes</t>
  </si>
  <si>
    <t>3,4</t>
  </si>
  <si>
    <t xml:space="preserve">Originally the BBNEP ignored this contribution, then in the mid 1990s we adopted the values shown. The BBNEP also assumed no contributions from wetlands.  The MEP estimate is for all natural landscapes (whether wetlands or uplands) assumes 27.25 in. annual recharge at a N concentrentartion of  0.072 ppm, the presumed GW background  N concentration. </t>
  </si>
  <si>
    <t xml:space="preserve">Notes: 1) Annual precipitation decreases by several inches moving west to east across the Buzzards Bay watershed. </t>
  </si>
  <si>
    <t>MEP assumes impervious recharge is 90% of annual precipitation (annual rainfall is watershed specific, see note 2 for MEPvalue) x1.5 ppm N.  This rate also applies to driveways and parking areas.</t>
  </si>
  <si>
    <t>MEP assumes 4.46 lb/ac N application and 100% leaching</t>
  </si>
  <si>
    <t>Nurseries use fertilizer, and potentially this value may be too low.  However, nurseries occupy neglible amounts of land area in any watershed, so the relevance of this coefficient is negligible.</t>
  </si>
  <si>
    <t>The original BBNEP loading rate was 3 lbs per lawn effective leaching rate based on assumptions from the early 1990s. Based on interviews on Cape Cod and other studies, the MEP concluded only 5.40 lbs of N were applied on average annually to each 5000 sq ft lawn with 20% leaching to groundwater.</t>
  </si>
  <si>
    <t>MEP assumes 30.33 lb/ac (34 kg/ha) application and 30% leaching.  This value may be too low for some types of crops like corn.  We include orchards in this category.</t>
  </si>
  <si>
    <t>Wastewater load per unit</t>
  </si>
  <si>
    <t>The MEP multiples average annual water (less 10% for non-wastewater use), times an assumed groundwater discharge concentration of 26.25 ppm</t>
  </si>
  <si>
    <t>Residential lawn fertilizer per acre, effective rate based on use</t>
  </si>
  <si>
    <t>per unit=</t>
  </si>
  <si>
    <t>septic load</t>
  </si>
  <si>
    <t>ESTUARY</t>
  </si>
  <si>
    <t>LU05_DESC</t>
  </si>
  <si>
    <t>LUCODE</t>
  </si>
  <si>
    <t>Forest</t>
  </si>
  <si>
    <t>Non-Forested Wetland</t>
  </si>
  <si>
    <t>Participation Recreation</t>
  </si>
  <si>
    <t>Saltwater Wetland</t>
  </si>
  <si>
    <t>Water</t>
  </si>
  <si>
    <t>Saltwater Sandy Beach</t>
  </si>
  <si>
    <t>Very Low Density Residential</t>
  </si>
  <si>
    <t>Cropland</t>
  </si>
  <si>
    <t>Open Land</t>
  </si>
  <si>
    <t>Multi-Family Residential</t>
  </si>
  <si>
    <t>Medium Density Residential</t>
  </si>
  <si>
    <t>Low Density Residential</t>
  </si>
  <si>
    <t>Transitional</t>
  </si>
  <si>
    <t>Golf Course</t>
  </si>
  <si>
    <t>Urban Public/Institutional</t>
  </si>
  <si>
    <t>Forested Wetland</t>
  </si>
  <si>
    <t>Brushland/Successional</t>
  </si>
  <si>
    <t>Point Sources</t>
  </si>
  <si>
    <t>Attenuated Subwatershed Loading (lbs)</t>
  </si>
  <si>
    <t>agricult. fertilizer</t>
  </si>
  <si>
    <t>Average water use</t>
  </si>
  <si>
    <t>MEP uses different rates for greens, fairways, and roughs, and this value is the average rate for several course, but fertilizer rates can vary slightly from course to course.  This value is based on coursewide averages used in several MEP studies.</t>
  </si>
  <si>
    <t>Assumes 3.0 lbs per 1000 sq. ft and 20% leaching.  Includes Playing fields, parks, school fields, etc.  Not generally used by MEP.</t>
  </si>
  <si>
    <t xml:space="preserve">= watershed annual precipitation in inches  (from draft MEP report; 90% used)= </t>
  </si>
  <si>
    <t>=residential wateruse (average annual GPD)=</t>
  </si>
  <si>
    <t>=residential wateruse recharge (average annual GPD)=</t>
  </si>
  <si>
    <t>=Residential  wastewater use + 5000 sq foot lawn + runoff from a 1500 ft2 roof and 1500 ft2 driveway=</t>
  </si>
  <si>
    <t>= 90% impervious recharge based on precipitation</t>
  </si>
  <si>
    <t>annual precip</t>
  </si>
  <si>
    <t>total load</t>
  </si>
  <si>
    <t>Little River</t>
  </si>
  <si>
    <t>Unattenuated Subwatershed Loading (lbs)</t>
  </si>
  <si>
    <t>SUM_ACREAG</t>
  </si>
  <si>
    <t>189.9 is observed</t>
  </si>
  <si>
    <t>47.8 in MEP report</t>
  </si>
  <si>
    <t xml:space="preserve">The MEP assumptions result in a loading rate of  9.41 lbs/ac (10.5 Kg/ha),which incorporates an assumption only 1/2 of all lawns are fertilized, hence the lower rate.  The original BBNEP method conservatively assumed all lawns were fertilized with a higher application rate. </t>
  </si>
  <si>
    <t>MEP assumes 31 lb/ac application and 66% leaching.  This value is porportedly expected to change in 2011.</t>
  </si>
</sst>
</file>

<file path=xl/styles.xml><?xml version="1.0" encoding="utf-8"?>
<styleSheet xmlns="http://schemas.openxmlformats.org/spreadsheetml/2006/main">
  <numFmts count="5">
    <numFmt numFmtId="164" formatCode="0.0"/>
    <numFmt numFmtId="165" formatCode="0.0000"/>
    <numFmt numFmtId="166" formatCode="0.0%"/>
    <numFmt numFmtId="167" formatCode="#,##0.0"/>
    <numFmt numFmtId="168" formatCode="0.000"/>
  </numFmts>
  <fonts count="11">
    <font>
      <sz val="10"/>
      <name val="Arial"/>
    </font>
    <font>
      <sz val="10"/>
      <name val="Arial"/>
      <family val="2"/>
    </font>
    <font>
      <sz val="8"/>
      <name val="Arial"/>
      <family val="2"/>
    </font>
    <font>
      <b/>
      <sz val="10"/>
      <name val="Arial"/>
      <family val="2"/>
    </font>
    <font>
      <sz val="8"/>
      <color indexed="81"/>
      <name val="Tahoma"/>
      <family val="2"/>
    </font>
    <font>
      <b/>
      <sz val="8"/>
      <color indexed="81"/>
      <name val="Tahoma"/>
      <family val="2"/>
    </font>
    <font>
      <sz val="10"/>
      <name val="Arial"/>
      <family val="2"/>
    </font>
    <font>
      <sz val="10"/>
      <color rgb="FF0070C0"/>
      <name val="Arial"/>
      <family val="2"/>
    </font>
    <font>
      <b/>
      <sz val="10"/>
      <color rgb="FF0070C0"/>
      <name val="Arial"/>
      <family val="2"/>
    </font>
    <font>
      <sz val="8"/>
      <color indexed="81"/>
      <name val="Tahoma"/>
      <charset val="1"/>
    </font>
    <font>
      <b/>
      <sz val="8"/>
      <color indexed="81"/>
      <name val="Tahoma"/>
      <charset val="1"/>
    </font>
  </fonts>
  <fills count="3">
    <fill>
      <patternFill patternType="none"/>
    </fill>
    <fill>
      <patternFill patternType="gray125"/>
    </fill>
    <fill>
      <patternFill patternType="solid">
        <fgColor indexed="2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cellStyleXfs>
  <cellXfs count="94">
    <xf numFmtId="0" fontId="0" fillId="0" borderId="0" xfId="0"/>
    <xf numFmtId="1" fontId="0" fillId="0" borderId="0" xfId="0" applyNumberFormat="1"/>
    <xf numFmtId="164" fontId="0" fillId="0" borderId="0" xfId="0" applyNumberFormat="1"/>
    <xf numFmtId="165" fontId="0" fillId="0" borderId="0" xfId="0" applyNumberFormat="1"/>
    <xf numFmtId="0" fontId="0" fillId="0" borderId="0" xfId="0" applyNumberFormat="1"/>
    <xf numFmtId="0" fontId="0" fillId="0" borderId="0" xfId="0" applyAlignment="1">
      <alignment horizontal="right"/>
    </xf>
    <xf numFmtId="3" fontId="0" fillId="0" borderId="0" xfId="0" applyNumberFormat="1"/>
    <xf numFmtId="3" fontId="1" fillId="0" borderId="0" xfId="0" applyNumberFormat="1" applyFont="1"/>
    <xf numFmtId="167" fontId="0" fillId="0" borderId="0" xfId="0" applyNumberFormat="1"/>
    <xf numFmtId="10" fontId="0" fillId="0" borderId="0" xfId="0" applyNumberFormat="1"/>
    <xf numFmtId="3" fontId="3" fillId="0" borderId="0" xfId="0" applyNumberFormat="1" applyFont="1" applyAlignment="1">
      <alignment horizontal="right"/>
    </xf>
    <xf numFmtId="3" fontId="3" fillId="0" borderId="0" xfId="0" applyNumberFormat="1" applyFont="1" applyAlignment="1">
      <alignment horizontal="right" wrapText="1"/>
    </xf>
    <xf numFmtId="10" fontId="3" fillId="0" borderId="0" xfId="0" applyNumberFormat="1" applyFont="1" applyAlignment="1">
      <alignment horizontal="right" wrapText="1"/>
    </xf>
    <xf numFmtId="3" fontId="3" fillId="0" borderId="0" xfId="0" applyNumberFormat="1" applyFont="1"/>
    <xf numFmtId="167" fontId="3" fillId="0" borderId="0" xfId="0" applyNumberFormat="1" applyFont="1"/>
    <xf numFmtId="0" fontId="3" fillId="0" borderId="0" xfId="0" applyFont="1"/>
    <xf numFmtId="0" fontId="3" fillId="0" borderId="0" xfId="0" applyFont="1" applyAlignment="1">
      <alignment horizontal="right"/>
    </xf>
    <xf numFmtId="1" fontId="3" fillId="0" borderId="0" xfId="0" applyNumberFormat="1" applyFont="1" applyAlignment="1">
      <alignment wrapText="1"/>
    </xf>
    <xf numFmtId="1" fontId="3" fillId="0" borderId="0" xfId="0" applyNumberFormat="1" applyFont="1" applyAlignment="1">
      <alignment horizontal="right" wrapText="1"/>
    </xf>
    <xf numFmtId="167" fontId="3" fillId="0" borderId="0" xfId="0" applyNumberFormat="1" applyFont="1" applyAlignment="1">
      <alignment horizontal="right" wrapText="1"/>
    </xf>
    <xf numFmtId="0" fontId="3" fillId="0" borderId="0" xfId="0" applyFont="1" applyAlignment="1">
      <alignment wrapText="1"/>
    </xf>
    <xf numFmtId="0" fontId="3" fillId="0" borderId="0" xfId="0" applyFont="1" applyAlignment="1">
      <alignment horizontal="right" wrapText="1"/>
    </xf>
    <xf numFmtId="165" fontId="3" fillId="0" borderId="0" xfId="0" applyNumberFormat="1" applyFont="1" applyAlignment="1">
      <alignment wrapText="1"/>
    </xf>
    <xf numFmtId="0" fontId="7" fillId="0" borderId="0" xfId="0" applyFont="1"/>
    <xf numFmtId="0" fontId="8" fillId="0" borderId="0" xfId="0" applyFont="1" applyAlignment="1">
      <alignment horizontal="right"/>
    </xf>
    <xf numFmtId="167" fontId="8" fillId="0" borderId="0" xfId="0" applyNumberFormat="1" applyFont="1" applyAlignment="1">
      <alignment horizontal="right"/>
    </xf>
    <xf numFmtId="167" fontId="7" fillId="0" borderId="0" xfId="0" applyNumberFormat="1" applyFont="1"/>
    <xf numFmtId="3" fontId="7" fillId="0" borderId="0" xfId="0" applyNumberFormat="1" applyFont="1"/>
    <xf numFmtId="10" fontId="7" fillId="0" borderId="0" xfId="0" applyNumberFormat="1" applyFont="1"/>
    <xf numFmtId="4" fontId="8" fillId="0" borderId="0" xfId="0" applyNumberFormat="1" applyFont="1"/>
    <xf numFmtId="0" fontId="8" fillId="0" borderId="0" xfId="0" applyFont="1"/>
    <xf numFmtId="2" fontId="8" fillId="0" borderId="0" xfId="0" applyNumberFormat="1" applyFont="1"/>
    <xf numFmtId="167" fontId="8" fillId="0" borderId="0" xfId="0" applyNumberFormat="1" applyFont="1" applyAlignment="1">
      <alignment wrapText="1"/>
    </xf>
    <xf numFmtId="3" fontId="8" fillId="0" borderId="0" xfId="0" applyNumberFormat="1" applyFont="1"/>
    <xf numFmtId="3" fontId="8" fillId="0" borderId="0" xfId="0" applyNumberFormat="1" applyFont="1" applyAlignment="1">
      <alignment horizontal="right"/>
    </xf>
    <xf numFmtId="3" fontId="6" fillId="0" borderId="0" xfId="0" applyNumberFormat="1" applyFont="1" applyAlignment="1">
      <alignment horizontal="right" wrapText="1"/>
    </xf>
    <xf numFmtId="2" fontId="6" fillId="0" borderId="0" xfId="0" applyNumberFormat="1" applyFont="1" applyAlignment="1">
      <alignment horizontal="right" wrapText="1"/>
    </xf>
    <xf numFmtId="164" fontId="3" fillId="0" borderId="0" xfId="0" applyNumberFormat="1" applyFont="1"/>
    <xf numFmtId="10" fontId="3" fillId="0" borderId="0" xfId="0" applyNumberFormat="1" applyFont="1"/>
    <xf numFmtId="1" fontId="3" fillId="0" borderId="0" xfId="0" applyNumberFormat="1" applyFont="1" applyAlignment="1">
      <alignment horizontal="left" wrapText="1"/>
    </xf>
    <xf numFmtId="0" fontId="3" fillId="0" borderId="0" xfId="0" applyFont="1" applyAlignment="1">
      <alignment horizontal="left"/>
    </xf>
    <xf numFmtId="2" fontId="7" fillId="0" borderId="0" xfId="0" applyNumberFormat="1" applyFont="1"/>
    <xf numFmtId="2" fontId="8" fillId="0" borderId="0" xfId="0" applyNumberFormat="1" applyFont="1" applyAlignment="1">
      <alignment horizontal="right"/>
    </xf>
    <xf numFmtId="4" fontId="0" fillId="0" borderId="0" xfId="0" applyNumberFormat="1"/>
    <xf numFmtId="165" fontId="3" fillId="0" borderId="0" xfId="0" applyNumberFormat="1" applyFont="1" applyAlignment="1">
      <alignment horizontal="right" wrapText="1"/>
    </xf>
    <xf numFmtId="167" fontId="6" fillId="0" borderId="0" xfId="0" applyNumberFormat="1" applyFont="1" applyAlignment="1">
      <alignment horizontal="right" wrapText="1"/>
    </xf>
    <xf numFmtId="3" fontId="0" fillId="0" borderId="0" xfId="0" applyNumberFormat="1" applyAlignment="1">
      <alignment horizontal="right"/>
    </xf>
    <xf numFmtId="0" fontId="7" fillId="0" borderId="0" xfId="0" quotePrefix="1" applyFont="1"/>
    <xf numFmtId="3" fontId="6" fillId="0" borderId="0" xfId="0" applyNumberFormat="1" applyFont="1"/>
    <xf numFmtId="0" fontId="6" fillId="0" borderId="0" xfId="0" applyFont="1"/>
    <xf numFmtId="166" fontId="6" fillId="0" borderId="0" xfId="0" applyNumberFormat="1" applyFont="1"/>
    <xf numFmtId="0" fontId="1" fillId="0" borderId="0" xfId="0" applyFont="1" applyAlignment="1">
      <alignment horizontal="left" wrapText="1"/>
    </xf>
    <xf numFmtId="166" fontId="0" fillId="0" borderId="0" xfId="0" applyNumberFormat="1"/>
    <xf numFmtId="164" fontId="0" fillId="0" borderId="0" xfId="0" applyNumberFormat="1" applyAlignment="1">
      <alignment horizontal="right"/>
    </xf>
    <xf numFmtId="0" fontId="0" fillId="0" borderId="0" xfId="0" applyAlignment="1">
      <alignment horizontal="right" wrapText="1"/>
    </xf>
    <xf numFmtId="0" fontId="0" fillId="0" borderId="0" xfId="0" applyAlignment="1">
      <alignment wrapText="1"/>
    </xf>
    <xf numFmtId="0" fontId="3" fillId="0" borderId="1" xfId="0" applyFont="1" applyBorder="1"/>
    <xf numFmtId="0" fontId="3" fillId="0" borderId="1" xfId="0" applyFont="1" applyBorder="1" applyAlignment="1">
      <alignment horizontal="right" wrapText="1"/>
    </xf>
    <xf numFmtId="0" fontId="3" fillId="0" borderId="1" xfId="0" applyFont="1" applyBorder="1" applyAlignment="1">
      <alignment horizontal="left" wrapText="1"/>
    </xf>
    <xf numFmtId="0" fontId="3" fillId="0" borderId="1" xfId="0" applyFont="1" applyBorder="1" applyAlignment="1">
      <alignment wrapText="1"/>
    </xf>
    <xf numFmtId="0" fontId="3" fillId="2" borderId="1" xfId="0" applyFont="1" applyFill="1" applyBorder="1" applyAlignment="1">
      <alignment horizontal="right" wrapText="1"/>
    </xf>
    <xf numFmtId="0" fontId="0" fillId="0" borderId="1" xfId="0" applyBorder="1" applyAlignment="1">
      <alignment horizontal="right" wrapText="1"/>
    </xf>
    <xf numFmtId="2" fontId="0" fillId="2" borderId="1" xfId="0" applyNumberFormat="1" applyFill="1" applyBorder="1" applyAlignment="1">
      <alignment horizontal="right" wrapText="1"/>
    </xf>
    <xf numFmtId="0" fontId="0" fillId="0" borderId="1" xfId="0" applyBorder="1" applyAlignment="1">
      <alignment horizontal="left" wrapText="1"/>
    </xf>
    <xf numFmtId="0" fontId="0" fillId="2" borderId="1" xfId="0" applyFill="1" applyBorder="1" applyAlignment="1">
      <alignment horizontal="right" wrapText="1"/>
    </xf>
    <xf numFmtId="0" fontId="0" fillId="0" borderId="0" xfId="0" applyAlignment="1">
      <alignment horizontal="left" wrapText="1"/>
    </xf>
    <xf numFmtId="0" fontId="1" fillId="0" borderId="1" xfId="0" applyFont="1" applyBorder="1" applyAlignment="1">
      <alignment horizontal="left" wrapText="1"/>
    </xf>
    <xf numFmtId="166" fontId="0" fillId="0" borderId="0" xfId="0" applyNumberFormat="1" applyAlignment="1">
      <alignment horizontal="right"/>
    </xf>
    <xf numFmtId="167" fontId="1" fillId="0" borderId="0" xfId="0" applyNumberFormat="1" applyFont="1"/>
    <xf numFmtId="168" fontId="0" fillId="0" borderId="0" xfId="0" applyNumberFormat="1"/>
    <xf numFmtId="1" fontId="0" fillId="0" borderId="0" xfId="0" applyNumberFormat="1" applyAlignment="1">
      <alignment wrapText="1"/>
    </xf>
    <xf numFmtId="4" fontId="7" fillId="0" borderId="0" xfId="0" applyNumberFormat="1" applyFont="1"/>
    <xf numFmtId="4" fontId="3" fillId="0" borderId="0" xfId="0" applyNumberFormat="1" applyFont="1" applyAlignment="1">
      <alignment horizontal="right" wrapText="1"/>
    </xf>
    <xf numFmtId="0" fontId="1" fillId="0" borderId="0" xfId="0" applyFont="1"/>
    <xf numFmtId="3" fontId="1" fillId="0" borderId="0" xfId="0" applyNumberFormat="1" applyFont="1" applyAlignment="1">
      <alignment horizontal="right" wrapText="1"/>
    </xf>
    <xf numFmtId="0" fontId="3" fillId="0" borderId="4" xfId="0" applyFont="1" applyBorder="1" applyAlignment="1">
      <alignment horizontal="right" wrapText="1"/>
    </xf>
    <xf numFmtId="0" fontId="3" fillId="0" borderId="0" xfId="0" applyFont="1" applyBorder="1" applyAlignment="1">
      <alignment horizontal="right" wrapText="1"/>
    </xf>
    <xf numFmtId="2" fontId="0" fillId="0" borderId="0" xfId="0" applyNumberFormat="1" applyAlignment="1">
      <alignment horizontal="right" wrapText="1"/>
    </xf>
    <xf numFmtId="0" fontId="1" fillId="0" borderId="0" xfId="0" applyFont="1" applyAlignment="1">
      <alignment horizontal="right"/>
    </xf>
    <xf numFmtId="0" fontId="3" fillId="2" borderId="1" xfId="0" applyFont="1" applyFill="1" applyBorder="1" applyAlignment="1">
      <alignment horizontal="center"/>
    </xf>
    <xf numFmtId="0" fontId="1" fillId="0" borderId="1" xfId="0" applyFont="1" applyBorder="1" applyAlignment="1">
      <alignment wrapText="1"/>
    </xf>
    <xf numFmtId="0" fontId="0" fillId="0" borderId="1" xfId="0" applyBorder="1" applyAlignment="1">
      <alignment wrapText="1"/>
    </xf>
    <xf numFmtId="0" fontId="1" fillId="0" borderId="2" xfId="0" applyFont="1" applyBorder="1" applyAlignment="1">
      <alignment horizontal="left" wrapText="1"/>
    </xf>
    <xf numFmtId="0" fontId="0" fillId="0" borderId="3" xfId="0" applyBorder="1" applyAlignment="1">
      <alignment horizontal="left" wrapText="1"/>
    </xf>
    <xf numFmtId="0" fontId="1" fillId="0" borderId="5" xfId="0" applyFont="1" applyBorder="1" applyAlignment="1">
      <alignment horizontal="left" wrapText="1"/>
    </xf>
    <xf numFmtId="0" fontId="0" fillId="0" borderId="5" xfId="0" applyBorder="1" applyAlignment="1">
      <alignment horizontal="left" wrapText="1"/>
    </xf>
    <xf numFmtId="0" fontId="1" fillId="0" borderId="3" xfId="0" applyFont="1" applyBorder="1" applyAlignment="1">
      <alignment horizontal="left" wrapText="1"/>
    </xf>
    <xf numFmtId="0" fontId="3" fillId="0" borderId="3" xfId="0" applyFont="1" applyFill="1" applyBorder="1" applyAlignment="1">
      <alignment horizontal="left" wrapText="1"/>
    </xf>
    <xf numFmtId="0" fontId="0" fillId="0" borderId="3" xfId="0" applyBorder="1" applyAlignment="1">
      <alignment horizontal="left"/>
    </xf>
    <xf numFmtId="0" fontId="1" fillId="0" borderId="6" xfId="0" quotePrefix="1" applyFont="1" applyBorder="1" applyAlignment="1">
      <alignment horizontal="left" wrapText="1"/>
    </xf>
    <xf numFmtId="0" fontId="0" fillId="0" borderId="5" xfId="0" applyBorder="1" applyAlignment="1">
      <alignment wrapText="1"/>
    </xf>
    <xf numFmtId="0" fontId="0" fillId="0" borderId="7" xfId="0" applyBorder="1" applyAlignment="1">
      <alignment wrapText="1"/>
    </xf>
    <xf numFmtId="0" fontId="1" fillId="0" borderId="0" xfId="0" quotePrefix="1" applyFont="1" applyAlignment="1">
      <alignment horizontal="left" wrapText="1"/>
    </xf>
    <xf numFmtId="0" fontId="0" fillId="0" borderId="0" xfId="0" applyAlignment="1">
      <alignment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chart1.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sz="1400" baseline="0"/>
            </a:pPr>
            <a:r>
              <a:rPr lang="en-US" sz="1400" baseline="0"/>
              <a:t>Nitrogen Sources Reaching the Little River  (attenuated nitrogen) circa 2005</a:t>
            </a:r>
          </a:p>
        </c:rich>
      </c:tx>
      <c:layout>
        <c:manualLayout>
          <c:xMode val="edge"/>
          <c:yMode val="edge"/>
          <c:x val="1.0944444444444441E-2"/>
          <c:y val="2.7224538109206975E-4"/>
        </c:manualLayout>
      </c:layout>
    </c:title>
    <c:plotArea>
      <c:layout>
        <c:manualLayout>
          <c:layoutTarget val="inner"/>
          <c:xMode val="edge"/>
          <c:yMode val="edge"/>
          <c:x val="0.19033048993875765"/>
          <c:y val="0.18067263650867169"/>
          <c:w val="0.6096876640419947"/>
          <c:h val="0.71727960475528862"/>
        </c:manualLayout>
      </c:layout>
      <c:pieChart>
        <c:varyColors val="1"/>
        <c:ser>
          <c:idx val="0"/>
          <c:order val="0"/>
          <c:tx>
            <c:strRef>
              <c:f>summary_loads!$C$17:$H$17</c:f>
              <c:strCache>
                <c:ptCount val="1"/>
                <c:pt idx="0">
                  <c:v>precip on natural surface precip runoff golf courses agricult. fertilizer lawn fertilizer septic systems</c:v>
                </c:pt>
              </c:strCache>
            </c:strRef>
          </c:tx>
          <c:dLbls>
            <c:dLbl>
              <c:idx val="0"/>
              <c:layout>
                <c:manualLayout>
                  <c:x val="4.1771325459317575E-2"/>
                  <c:y val="5.9589830682929362E-2"/>
                </c:manualLayout>
              </c:layout>
              <c:showCatName val="1"/>
              <c:showPercent val="1"/>
            </c:dLbl>
            <c:dLbl>
              <c:idx val="1"/>
              <c:layout>
                <c:manualLayout>
                  <c:x val="0.29768328958880197"/>
                  <c:y val="-2.9412279347434511E-2"/>
                </c:manualLayout>
              </c:layout>
              <c:showCatName val="1"/>
              <c:showPercent val="1"/>
            </c:dLbl>
            <c:dLbl>
              <c:idx val="2"/>
              <c:layout>
                <c:manualLayout>
                  <c:x val="-1.8724846894138256E-2"/>
                  <c:y val="5.0066903401780743E-3"/>
                </c:manualLayout>
              </c:layout>
              <c:showCatName val="1"/>
              <c:showPercent val="1"/>
            </c:dLbl>
            <c:dLbl>
              <c:idx val="3"/>
              <c:layout>
                <c:manualLayout>
                  <c:x val="1.3029308836395392E-3"/>
                  <c:y val="-2.1253409500283052E-2"/>
                </c:manualLayout>
              </c:layout>
              <c:showCatName val="1"/>
              <c:showPercent val="1"/>
            </c:dLbl>
            <c:dLbl>
              <c:idx val="4"/>
              <c:layout>
                <c:manualLayout>
                  <c:x val="0"/>
                  <c:y val="-1.0691163604549431E-2"/>
                </c:manualLayout>
              </c:layout>
              <c:showCatName val="1"/>
              <c:showPercent val="1"/>
            </c:dLbl>
            <c:dLbl>
              <c:idx val="5"/>
              <c:layout>
                <c:manualLayout>
                  <c:x val="-4.3917979002624723E-2"/>
                  <c:y val="-2.7563429571303602E-2"/>
                </c:manualLayout>
              </c:layout>
              <c:showCatName val="1"/>
              <c:showPercent val="1"/>
            </c:dLbl>
            <c:numFmt formatCode="0.0%" sourceLinked="0"/>
            <c:txPr>
              <a:bodyPr/>
              <a:lstStyle/>
              <a:p>
                <a:pPr>
                  <a:defRPr sz="1000" b="1" i="0" baseline="0">
                    <a:latin typeface="Arial" pitchFamily="34" charset="0"/>
                  </a:defRPr>
                </a:pPr>
                <a:endParaRPr lang="en-US"/>
              </a:p>
            </c:txPr>
            <c:showCatName val="1"/>
            <c:showPercent val="1"/>
            <c:showLeaderLines val="1"/>
          </c:dLbls>
          <c:cat>
            <c:strRef>
              <c:f>summary_loads!$C$17:$H$17</c:f>
              <c:strCache>
                <c:ptCount val="6"/>
                <c:pt idx="0">
                  <c:v>precip on natural surface</c:v>
                </c:pt>
                <c:pt idx="1">
                  <c:v>precip runoff</c:v>
                </c:pt>
                <c:pt idx="2">
                  <c:v>golf courses</c:v>
                </c:pt>
                <c:pt idx="3">
                  <c:v>agricult. fertilizer</c:v>
                </c:pt>
                <c:pt idx="4">
                  <c:v>lawn fertilizer</c:v>
                </c:pt>
                <c:pt idx="5">
                  <c:v>septic systems</c:v>
                </c:pt>
              </c:strCache>
            </c:strRef>
          </c:cat>
          <c:val>
            <c:numRef>
              <c:f>summary_loads!$C$19:$H$19</c:f>
              <c:numCache>
                <c:formatCode>#,##0</c:formatCode>
                <c:ptCount val="6"/>
                <c:pt idx="0">
                  <c:v>1458.6646876033058</c:v>
                </c:pt>
                <c:pt idx="1">
                  <c:v>332.61040000000003</c:v>
                </c:pt>
                <c:pt idx="2">
                  <c:v>36.936499999999995</c:v>
                </c:pt>
                <c:pt idx="3">
                  <c:v>863.13580000000002</c:v>
                </c:pt>
                <c:pt idx="4">
                  <c:v>116.65289256198348</c:v>
                </c:pt>
                <c:pt idx="5">
                  <c:v>1553.8028253300001</c:v>
                </c:pt>
              </c:numCache>
            </c:numRef>
          </c:val>
        </c:ser>
        <c:firstSliceAng val="12"/>
      </c:pieChart>
    </c:plotArea>
    <c:plotVisOnly val="1"/>
  </c:chart>
  <c:printSettings>
    <c:headerFooter/>
    <c:pageMargins b="0.750000000000002" l="0.70000000000000062" r="0.70000000000000062" t="0.75000000000000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a:pPr>
            <a:r>
              <a:rPr lang="en-US"/>
              <a:t>septic load percent of total load</a:t>
            </a:r>
          </a:p>
        </c:rich>
      </c:tx>
    </c:title>
    <c:plotArea>
      <c:layout/>
      <c:scatterChart>
        <c:scatterStyle val="lineMarker"/>
        <c:ser>
          <c:idx val="0"/>
          <c:order val="0"/>
          <c:tx>
            <c:strRef>
              <c:f>summary_loads!$B$24</c:f>
              <c:strCache>
                <c:ptCount val="1"/>
                <c:pt idx="0">
                  <c:v>septic load</c:v>
                </c:pt>
              </c:strCache>
            </c:strRef>
          </c:tx>
          <c:spPr>
            <a:ln w="28575">
              <a:noFill/>
            </a:ln>
          </c:spPr>
          <c:dPt>
            <c:idx val="2"/>
            <c:marker>
              <c:symbol val="square"/>
              <c:size val="10"/>
            </c:marker>
          </c:dPt>
          <c:trendline>
            <c:trendlineType val="linear"/>
          </c:trendline>
          <c:xVal>
            <c:numRef>
              <c:f>summary_loads!$A$25:$A$28</c:f>
              <c:numCache>
                <c:formatCode>General</c:formatCode>
                <c:ptCount val="4"/>
                <c:pt idx="0">
                  <c:v>150</c:v>
                </c:pt>
                <c:pt idx="1">
                  <c:v>175</c:v>
                </c:pt>
                <c:pt idx="2">
                  <c:v>189.9</c:v>
                </c:pt>
                <c:pt idx="3">
                  <c:v>200</c:v>
                </c:pt>
              </c:numCache>
            </c:numRef>
          </c:xVal>
          <c:yVal>
            <c:numRef>
              <c:f>summary_loads!$B$25:$B$28</c:f>
              <c:numCache>
                <c:formatCode>0.0%</c:formatCode>
                <c:ptCount val="4"/>
                <c:pt idx="0">
                  <c:v>0.29766611598545767</c:v>
                </c:pt>
                <c:pt idx="1">
                  <c:v>0.33086269953391334</c:v>
                </c:pt>
                <c:pt idx="2">
                  <c:v>0.34919622934613209</c:v>
                </c:pt>
                <c:pt idx="3">
                  <c:v>0.36106277047578494</c:v>
                </c:pt>
              </c:numCache>
            </c:numRef>
          </c:yVal>
        </c:ser>
        <c:axId val="103752832"/>
        <c:axId val="103754752"/>
      </c:scatterChart>
      <c:valAx>
        <c:axId val="103752832"/>
        <c:scaling>
          <c:orientation val="minMax"/>
          <c:min val="140"/>
        </c:scaling>
        <c:axPos val="b"/>
        <c:title>
          <c:tx>
            <c:rich>
              <a:bodyPr/>
              <a:lstStyle/>
              <a:p>
                <a:pPr>
                  <a:defRPr sz="1600" baseline="0"/>
                </a:pPr>
                <a:r>
                  <a:rPr lang="en-US" sz="1600" baseline="0"/>
                  <a:t>avg water use, GPD</a:t>
                </a:r>
              </a:p>
            </c:rich>
          </c:tx>
        </c:title>
        <c:numFmt formatCode="General" sourceLinked="1"/>
        <c:majorTickMark val="in"/>
        <c:tickLblPos val="nextTo"/>
        <c:txPr>
          <a:bodyPr/>
          <a:lstStyle/>
          <a:p>
            <a:pPr>
              <a:defRPr sz="1200" b="1" i="0" baseline="0"/>
            </a:pPr>
            <a:endParaRPr lang="en-US"/>
          </a:p>
        </c:txPr>
        <c:crossAx val="103754752"/>
        <c:crossesAt val="0.14000000000000001"/>
        <c:crossBetween val="midCat"/>
      </c:valAx>
      <c:valAx>
        <c:axId val="103754752"/>
        <c:scaling>
          <c:orientation val="minMax"/>
          <c:max val="0.4"/>
          <c:min val="0.25"/>
        </c:scaling>
        <c:axPos val="l"/>
        <c:majorGridlines/>
        <c:numFmt formatCode="0%" sourceLinked="0"/>
        <c:majorTickMark val="none"/>
        <c:tickLblPos val="nextTo"/>
        <c:txPr>
          <a:bodyPr/>
          <a:lstStyle/>
          <a:p>
            <a:pPr>
              <a:defRPr sz="1200" b="1" i="0" baseline="0"/>
            </a:pPr>
            <a:endParaRPr lang="en-US"/>
          </a:p>
        </c:txPr>
        <c:crossAx val="103752832"/>
        <c:crossesAt val="120"/>
        <c:crossBetween val="midCat"/>
      </c:valAx>
    </c:plotArea>
    <c:plotVisOnly val="1"/>
  </c:chart>
  <c:printSettings>
    <c:headerFooter/>
    <c:pageMargins b="0.75000000000000122" l="0.70000000000000062" r="0.70000000000000062" t="0.7500000000000012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sz="1400"/>
            </a:pPr>
            <a:r>
              <a:rPr lang="en-US" sz="1400"/>
              <a:t>Percent N from Precip vs annual precipitation</a:t>
            </a:r>
          </a:p>
        </c:rich>
      </c:tx>
    </c:title>
    <c:plotArea>
      <c:layout/>
      <c:scatterChart>
        <c:scatterStyle val="lineMarker"/>
        <c:ser>
          <c:idx val="0"/>
          <c:order val="0"/>
          <c:tx>
            <c:strRef>
              <c:f>summary_loads!$B$35</c:f>
              <c:strCache>
                <c:ptCount val="1"/>
                <c:pt idx="0">
                  <c:v>total load</c:v>
                </c:pt>
              </c:strCache>
            </c:strRef>
          </c:tx>
          <c:spPr>
            <a:ln w="28575">
              <a:noFill/>
            </a:ln>
          </c:spPr>
          <c:trendline>
            <c:trendlineType val="linear"/>
          </c:trendline>
          <c:xVal>
            <c:numRef>
              <c:f>summary_loads!$A$36:$A$37</c:f>
              <c:numCache>
                <c:formatCode>General</c:formatCode>
                <c:ptCount val="2"/>
                <c:pt idx="0">
                  <c:v>47.8</c:v>
                </c:pt>
                <c:pt idx="1">
                  <c:v>44.4</c:v>
                </c:pt>
              </c:numCache>
            </c:numRef>
          </c:xVal>
          <c:yVal>
            <c:numRef>
              <c:f>summary_loads!$B$36:$B$37</c:f>
              <c:numCache>
                <c:formatCode>0.00%</c:formatCode>
                <c:ptCount val="2"/>
                <c:pt idx="0">
                  <c:v>0.41067307356137606</c:v>
                </c:pt>
                <c:pt idx="1">
                  <c:v>0.40371686332817197</c:v>
                </c:pt>
              </c:numCache>
            </c:numRef>
          </c:yVal>
        </c:ser>
        <c:axId val="103795712"/>
        <c:axId val="103552128"/>
      </c:scatterChart>
      <c:valAx>
        <c:axId val="103795712"/>
        <c:scaling>
          <c:orientation val="minMax"/>
        </c:scaling>
        <c:axPos val="b"/>
        <c:title>
          <c:tx>
            <c:rich>
              <a:bodyPr/>
              <a:lstStyle/>
              <a:p>
                <a:pPr>
                  <a:defRPr sz="1600" baseline="0"/>
                </a:pPr>
                <a:r>
                  <a:rPr lang="en-US" sz="1600" baseline="0"/>
                  <a:t>Annual Precipitation</a:t>
                </a:r>
              </a:p>
            </c:rich>
          </c:tx>
        </c:title>
        <c:numFmt formatCode="General" sourceLinked="1"/>
        <c:majorTickMark val="in"/>
        <c:tickLblPos val="nextTo"/>
        <c:txPr>
          <a:bodyPr/>
          <a:lstStyle/>
          <a:p>
            <a:pPr>
              <a:defRPr sz="1200" b="1" i="0" baseline="0"/>
            </a:pPr>
            <a:endParaRPr lang="en-US"/>
          </a:p>
        </c:txPr>
        <c:crossAx val="103552128"/>
        <c:crosses val="autoZero"/>
        <c:crossBetween val="midCat"/>
      </c:valAx>
      <c:valAx>
        <c:axId val="103552128"/>
        <c:scaling>
          <c:orientation val="minMax"/>
        </c:scaling>
        <c:axPos val="l"/>
        <c:majorGridlines/>
        <c:numFmt formatCode="0.0%" sourceLinked="0"/>
        <c:majorTickMark val="none"/>
        <c:tickLblPos val="nextTo"/>
        <c:txPr>
          <a:bodyPr/>
          <a:lstStyle/>
          <a:p>
            <a:pPr>
              <a:defRPr sz="1200" b="1" i="0" baseline="0"/>
            </a:pPr>
            <a:endParaRPr lang="en-US"/>
          </a:p>
        </c:txPr>
        <c:crossAx val="103795712"/>
        <c:crosses val="autoZero"/>
        <c:crossBetween val="midCat"/>
      </c:valAx>
    </c:plotArea>
    <c:plotVisOnly val="1"/>
  </c:chart>
  <c:printSettings>
    <c:headerFooter/>
    <c:pageMargins b="0.75000000000000144" l="0.70000000000000062" r="0.70000000000000062" t="0.75000000000000144"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12</xdr:col>
      <xdr:colOff>152400</xdr:colOff>
      <xdr:row>12</xdr:row>
      <xdr:rowOff>9525</xdr:rowOff>
    </xdr:from>
    <xdr:to>
      <xdr:col>18</xdr:col>
      <xdr:colOff>476250</xdr:colOff>
      <xdr:row>24</xdr:row>
      <xdr:rowOff>219075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438150</xdr:colOff>
      <xdr:row>21</xdr:row>
      <xdr:rowOff>200025</xdr:rowOff>
    </xdr:from>
    <xdr:to>
      <xdr:col>11</xdr:col>
      <xdr:colOff>161925</xdr:colOff>
      <xdr:row>33</xdr:row>
      <xdr:rowOff>200025</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0</xdr:colOff>
      <xdr:row>35</xdr:row>
      <xdr:rowOff>0</xdr:rowOff>
    </xdr:from>
    <xdr:to>
      <xdr:col>11</xdr:col>
      <xdr:colOff>276225</xdr:colOff>
      <xdr:row>47</xdr:row>
      <xdr:rowOff>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AC37"/>
  <sheetViews>
    <sheetView topLeftCell="A20" workbookViewId="0">
      <selection activeCell="B44" sqref="B44"/>
    </sheetView>
  </sheetViews>
  <sheetFormatPr defaultRowHeight="18" customHeight="1"/>
  <cols>
    <col min="1" max="1" width="22.5703125" customWidth="1"/>
    <col min="2" max="2" width="8.5703125" style="5" customWidth="1"/>
    <col min="3" max="3" width="10.42578125" style="8" customWidth="1"/>
    <col min="4" max="4" width="8.28515625" style="8" customWidth="1"/>
    <col min="5" max="5" width="11" style="43" customWidth="1"/>
    <col min="6" max="7" width="8.7109375" style="8" customWidth="1"/>
    <col min="8" max="8" width="8" style="9" customWidth="1"/>
    <col min="9" max="9" width="8.7109375" customWidth="1"/>
    <col min="10" max="10" width="10.140625" customWidth="1"/>
    <col min="11" max="11" width="9.42578125" customWidth="1"/>
    <col min="12" max="12" width="9.5703125" customWidth="1"/>
    <col min="13" max="13" width="9.85546875" style="8" customWidth="1"/>
    <col min="14" max="14" width="10.5703125" style="8" customWidth="1"/>
    <col min="15" max="16" width="11" style="8" customWidth="1"/>
    <col min="17" max="17" width="10.85546875" customWidth="1"/>
    <col min="18" max="18" width="10.42578125" customWidth="1"/>
    <col min="19" max="19" width="9.85546875" customWidth="1"/>
    <col min="20" max="20" width="8.85546875" customWidth="1"/>
    <col min="21" max="21" width="7.85546875" style="6" customWidth="1"/>
    <col min="22" max="22" width="8.7109375" style="6" customWidth="1"/>
    <col min="23" max="23" width="9.42578125" customWidth="1"/>
    <col min="24" max="24" width="9.5703125" customWidth="1"/>
    <col min="25" max="25" width="9.140625" style="9"/>
    <col min="26" max="26" width="10.5703125" style="6" customWidth="1"/>
    <col min="27" max="33" width="15" customWidth="1"/>
    <col min="34" max="58" width="23.85546875" bestFit="1" customWidth="1"/>
    <col min="59" max="59" width="10.5703125" bestFit="1" customWidth="1"/>
  </cols>
  <sheetData>
    <row r="1" spans="1:29" ht="18" customHeight="1">
      <c r="A1" s="49" t="s">
        <v>45</v>
      </c>
    </row>
    <row r="2" spans="1:29" s="23" customFormat="1" ht="18" customHeight="1">
      <c r="A2" s="24"/>
      <c r="C2" s="25"/>
      <c r="D2" s="41"/>
      <c r="E2" s="71"/>
      <c r="F2" s="42"/>
      <c r="G2" s="42"/>
      <c r="H2" s="41"/>
      <c r="I2" s="41"/>
      <c r="J2" s="41"/>
      <c r="K2" s="41"/>
      <c r="L2" s="26"/>
      <c r="M2" s="26"/>
      <c r="N2" s="41"/>
      <c r="O2" s="41"/>
      <c r="S2" s="47"/>
      <c r="U2" s="27"/>
      <c r="V2" s="27"/>
      <c r="Y2" s="28"/>
      <c r="Z2" s="27"/>
    </row>
    <row r="3" spans="1:29" s="23" customFormat="1" ht="18" customHeight="1">
      <c r="C3" s="25"/>
      <c r="F3" s="42"/>
      <c r="I3" s="31"/>
      <c r="U3" s="33"/>
      <c r="W3" s="34"/>
      <c r="X3" s="25"/>
      <c r="Y3" s="25"/>
      <c r="Z3" s="34"/>
    </row>
    <row r="4" spans="1:29" s="20" customFormat="1" ht="42" customHeight="1">
      <c r="A4" s="39" t="s">
        <v>22</v>
      </c>
      <c r="B4" s="18" t="s">
        <v>0</v>
      </c>
      <c r="C4" s="19" t="s">
        <v>10</v>
      </c>
      <c r="D4" s="19" t="s">
        <v>6</v>
      </c>
      <c r="E4" s="72" t="s">
        <v>7</v>
      </c>
      <c r="F4" s="19" t="s">
        <v>11</v>
      </c>
      <c r="G4" s="21" t="s">
        <v>17</v>
      </c>
      <c r="H4" s="21" t="s">
        <v>13</v>
      </c>
      <c r="I4" s="21" t="s">
        <v>14</v>
      </c>
      <c r="J4" s="21" t="s">
        <v>16</v>
      </c>
      <c r="K4" s="21" t="s">
        <v>15</v>
      </c>
      <c r="L4" s="19" t="s">
        <v>5</v>
      </c>
      <c r="M4" s="19" t="s">
        <v>28</v>
      </c>
      <c r="N4" s="19" t="s">
        <v>8</v>
      </c>
      <c r="O4" s="19" t="s">
        <v>35</v>
      </c>
      <c r="P4" s="21" t="s">
        <v>18</v>
      </c>
      <c r="Q4" s="21" t="s">
        <v>19</v>
      </c>
      <c r="R4" s="21" t="s">
        <v>12</v>
      </c>
      <c r="S4" s="21" t="s">
        <v>9</v>
      </c>
      <c r="W4" s="11"/>
      <c r="X4" s="11"/>
      <c r="Y4" s="12"/>
      <c r="Z4" s="11"/>
      <c r="AA4" s="17"/>
      <c r="AB4" s="17"/>
      <c r="AC4" s="22"/>
    </row>
    <row r="5" spans="1:29" ht="18" customHeight="1">
      <c r="A5" s="1" t="s">
        <v>119</v>
      </c>
      <c r="B5" s="1">
        <v>0</v>
      </c>
      <c r="C5" s="2">
        <v>1396.3</v>
      </c>
      <c r="D5" s="2">
        <v>89.12</v>
      </c>
      <c r="E5" s="69">
        <f t="array" ref="E5">SUM(IF(MGIS_LU!$C$2:'MGIS_LU'!$C$152=$B5, IF(MGIS_LU!$B$2:'MGIS_LU'!$B$152=20,MGIS_LU!$F$2:'MGIS_LU'!$F$152,0),0))</f>
        <v>0</v>
      </c>
      <c r="F5" s="35">
        <f t="shared" ref="F5" si="0">C5-D5</f>
        <v>1307.1799999999998</v>
      </c>
      <c r="G5" s="6">
        <f>F5-E5-H5-I5-L5-M5-N5-O5-P5*Q5/43560</f>
        <v>1130.3233057851239</v>
      </c>
      <c r="H5" s="8">
        <v>10.220000000000001</v>
      </c>
      <c r="I5" s="43">
        <v>16.600000000000001</v>
      </c>
      <c r="J5" s="8">
        <f t="shared" ref="J5:K5" si="1">$I5/2</f>
        <v>8.3000000000000007</v>
      </c>
      <c r="K5" s="8">
        <f t="shared" si="1"/>
        <v>8.3000000000000007</v>
      </c>
      <c r="L5" s="8">
        <v>80.88</v>
      </c>
      <c r="M5" s="8">
        <v>55.21</v>
      </c>
      <c r="N5" s="8">
        <v>0</v>
      </c>
      <c r="O5" s="8">
        <v>1.55</v>
      </c>
      <c r="P5" s="4">
        <v>108</v>
      </c>
      <c r="Q5" s="6">
        <v>5000</v>
      </c>
      <c r="R5" s="4">
        <v>108</v>
      </c>
      <c r="S5" s="6">
        <v>0</v>
      </c>
      <c r="W5" s="7"/>
      <c r="X5" s="6"/>
      <c r="AA5" s="1"/>
      <c r="AB5" s="1"/>
      <c r="AC5" s="3"/>
    </row>
    <row r="6" spans="1:29" s="15" customFormat="1" ht="18" customHeight="1">
      <c r="A6" s="40" t="s">
        <v>2</v>
      </c>
      <c r="B6" s="16"/>
      <c r="C6" s="13">
        <f t="shared" ref="C6:P6" si="2">SUM(C5:C5)</f>
        <v>1396.3</v>
      </c>
      <c r="D6" s="14">
        <f t="shared" si="2"/>
        <v>89.12</v>
      </c>
      <c r="E6" s="14">
        <f t="shared" si="2"/>
        <v>0</v>
      </c>
      <c r="F6" s="13">
        <f t="shared" si="2"/>
        <v>1307.1799999999998</v>
      </c>
      <c r="G6" s="13">
        <f t="shared" si="2"/>
        <v>1130.3233057851239</v>
      </c>
      <c r="H6" s="14">
        <f t="shared" si="2"/>
        <v>10.220000000000001</v>
      </c>
      <c r="I6" s="37">
        <f t="shared" si="2"/>
        <v>16.600000000000001</v>
      </c>
      <c r="J6" s="37">
        <f t="shared" si="2"/>
        <v>8.3000000000000007</v>
      </c>
      <c r="K6" s="37">
        <f t="shared" si="2"/>
        <v>8.3000000000000007</v>
      </c>
      <c r="L6" s="37">
        <f t="shared" si="2"/>
        <v>80.88</v>
      </c>
      <c r="M6" s="37">
        <f t="shared" si="2"/>
        <v>55.21</v>
      </c>
      <c r="N6" s="37">
        <f t="shared" si="2"/>
        <v>0</v>
      </c>
      <c r="O6" s="37">
        <f t="shared" si="2"/>
        <v>1.55</v>
      </c>
      <c r="P6" s="37">
        <f t="shared" si="2"/>
        <v>108</v>
      </c>
      <c r="Q6" s="37"/>
      <c r="R6" s="37">
        <f>SUM(R5:R5)</f>
        <v>108</v>
      </c>
      <c r="S6" s="14">
        <f>SUM(S5:S5)</f>
        <v>0</v>
      </c>
      <c r="W6" s="7"/>
      <c r="X6" s="13"/>
      <c r="Y6" s="38"/>
      <c r="Z6" s="13"/>
      <c r="AA6" s="13"/>
    </row>
    <row r="7" spans="1:29" s="15" customFormat="1" ht="18" customHeight="1">
      <c r="A7" s="40"/>
      <c r="B7" s="16"/>
      <c r="C7" s="13"/>
      <c r="D7" s="14"/>
      <c r="E7" s="14"/>
      <c r="F7" s="13"/>
      <c r="G7" s="13"/>
      <c r="H7" s="14"/>
      <c r="I7" s="37"/>
      <c r="J7" s="37"/>
      <c r="K7" s="37"/>
      <c r="L7" s="37"/>
      <c r="M7" s="37"/>
      <c r="N7" s="37"/>
      <c r="O7" s="23" t="s">
        <v>84</v>
      </c>
      <c r="P7" s="37"/>
      <c r="Q7" s="37"/>
      <c r="R7" s="37"/>
      <c r="S7" s="14"/>
      <c r="W7" s="7"/>
      <c r="X7" s="13"/>
      <c r="Y7" s="38"/>
      <c r="Z7" s="13"/>
      <c r="AA7" s="13"/>
    </row>
    <row r="8" spans="1:29" ht="19.5" customHeight="1">
      <c r="A8" s="24" t="s">
        <v>4</v>
      </c>
      <c r="C8" s="31">
        <f>coefficients!D13</f>
        <v>10.66</v>
      </c>
      <c r="D8" s="29">
        <f>coefficients!D13</f>
        <v>10.66</v>
      </c>
      <c r="E8" s="29">
        <f>coefficients!D14</f>
        <v>0.45</v>
      </c>
      <c r="F8" s="31">
        <f>coefficients!D11</f>
        <v>14.67</v>
      </c>
      <c r="G8" s="31">
        <f>coefficients!D12</f>
        <v>7.34</v>
      </c>
      <c r="H8" s="31">
        <f>coefficients!D11</f>
        <v>14.67</v>
      </c>
      <c r="J8" s="29">
        <f>coefficients!D5</f>
        <v>4.46</v>
      </c>
      <c r="K8" s="29">
        <f>coefficients!D4</f>
        <v>9.1</v>
      </c>
      <c r="L8" s="31">
        <f>coefficients!D3</f>
        <v>20.46</v>
      </c>
      <c r="M8" s="31">
        <f>coefficients!D9</f>
        <v>23.83</v>
      </c>
      <c r="N8" s="31">
        <f>coefficients!D8</f>
        <v>9.41</v>
      </c>
      <c r="O8" s="32">
        <f>coefficients!D15</f>
        <v>14.387063197500002</v>
      </c>
      <c r="P8" s="30">
        <v>0</v>
      </c>
      <c r="W8" s="11"/>
      <c r="X8" s="11"/>
      <c r="Y8" s="12"/>
      <c r="Z8" s="10"/>
    </row>
    <row r="9" spans="1:29" s="21" customFormat="1" ht="48" customHeight="1">
      <c r="A9" s="39" t="s">
        <v>21</v>
      </c>
      <c r="B9" s="18" t="s">
        <v>0</v>
      </c>
      <c r="C9" s="19" t="s">
        <v>24</v>
      </c>
      <c r="D9" s="19" t="s">
        <v>29</v>
      </c>
      <c r="E9" s="72" t="s">
        <v>39</v>
      </c>
      <c r="F9" s="21" t="s">
        <v>23</v>
      </c>
      <c r="G9" s="21" t="s">
        <v>25</v>
      </c>
      <c r="H9" s="21" t="s">
        <v>26</v>
      </c>
      <c r="I9" s="21" t="s">
        <v>20</v>
      </c>
      <c r="J9" s="19" t="s">
        <v>36</v>
      </c>
      <c r="K9" s="19" t="s">
        <v>37</v>
      </c>
      <c r="L9" s="19" t="s">
        <v>38</v>
      </c>
      <c r="M9" s="21" t="s">
        <v>35</v>
      </c>
      <c r="N9" s="19" t="s">
        <v>34</v>
      </c>
      <c r="O9" s="21" t="s">
        <v>31</v>
      </c>
      <c r="P9" s="21" t="s">
        <v>9</v>
      </c>
      <c r="Q9" s="21" t="s">
        <v>41</v>
      </c>
      <c r="R9" s="11" t="s">
        <v>3</v>
      </c>
      <c r="S9" s="12" t="s">
        <v>1</v>
      </c>
      <c r="T9" s="11" t="s">
        <v>40</v>
      </c>
      <c r="Z9" s="11"/>
      <c r="AA9" s="18"/>
      <c r="AB9" s="18"/>
      <c r="AC9" s="44"/>
    </row>
    <row r="10" spans="1:29" ht="18" customHeight="1">
      <c r="A10" s="1" t="s">
        <v>119</v>
      </c>
      <c r="B10" s="1">
        <v>0</v>
      </c>
      <c r="C10" s="6">
        <f>C$8*D5</f>
        <v>950.01920000000007</v>
      </c>
      <c r="D10" s="8">
        <f>D$8*E5</f>
        <v>0</v>
      </c>
      <c r="E10" s="8">
        <f>E$8*G5</f>
        <v>508.64548760330575</v>
      </c>
      <c r="F10" s="6">
        <f>F$8*H5</f>
        <v>149.92740000000001</v>
      </c>
      <c r="G10" s="6">
        <f>G$8*J5</f>
        <v>60.922000000000004</v>
      </c>
      <c r="H10" s="6">
        <f>H$8*J5</f>
        <v>121.76100000000001</v>
      </c>
      <c r="I10" s="6">
        <f>SUM(F10:H10)</f>
        <v>332.61040000000003</v>
      </c>
      <c r="J10" s="6">
        <f>J$8*L5</f>
        <v>360.72479999999996</v>
      </c>
      <c r="K10" s="6">
        <f>K$8*M5</f>
        <v>502.411</v>
      </c>
      <c r="L10" s="6">
        <f>L$8*N5</f>
        <v>0</v>
      </c>
      <c r="M10" s="6">
        <f>M$8*O5</f>
        <v>36.936499999999995</v>
      </c>
      <c r="N10" s="6">
        <f>P5*Q5/43560*N$8</f>
        <v>116.65289256198348</v>
      </c>
      <c r="O10" s="6">
        <f>O$8*R5</f>
        <v>1553.8028253300001</v>
      </c>
      <c r="P10" s="6">
        <f>P$8*S5</f>
        <v>0</v>
      </c>
      <c r="Q10" s="6">
        <v>0</v>
      </c>
      <c r="R10" s="6">
        <f>SUM(C10,D10,E10,I10,J10,K10,L10,M10,N10,O10,P10,Q10)</f>
        <v>4361.8031054952899</v>
      </c>
      <c r="S10" s="36">
        <v>1</v>
      </c>
      <c r="T10" s="6">
        <f>R10*S10</f>
        <v>4361.8031054952899</v>
      </c>
    </row>
    <row r="11" spans="1:29" ht="18" customHeight="1">
      <c r="A11" s="40" t="s">
        <v>27</v>
      </c>
      <c r="B11" s="16"/>
      <c r="C11" s="6">
        <f t="shared" ref="C11:P11" si="3">SUM(C10:C10)</f>
        <v>950.01920000000007</v>
      </c>
      <c r="D11" s="8">
        <f t="shared" si="3"/>
        <v>0</v>
      </c>
      <c r="E11" s="8">
        <f t="shared" si="3"/>
        <v>508.64548760330575</v>
      </c>
      <c r="F11" s="6">
        <f t="shared" si="3"/>
        <v>149.92740000000001</v>
      </c>
      <c r="G11" s="6">
        <f t="shared" si="3"/>
        <v>60.922000000000004</v>
      </c>
      <c r="H11" s="6">
        <f t="shared" si="3"/>
        <v>121.76100000000001</v>
      </c>
      <c r="I11" s="6">
        <f t="shared" si="3"/>
        <v>332.61040000000003</v>
      </c>
      <c r="J11" s="6">
        <f t="shared" si="3"/>
        <v>360.72479999999996</v>
      </c>
      <c r="K11" s="6">
        <f t="shared" si="3"/>
        <v>502.411</v>
      </c>
      <c r="L11" s="6">
        <f t="shared" si="3"/>
        <v>0</v>
      </c>
      <c r="M11" s="6">
        <f t="shared" si="3"/>
        <v>36.936499999999995</v>
      </c>
      <c r="N11" s="6">
        <f t="shared" si="3"/>
        <v>116.65289256198348</v>
      </c>
      <c r="O11" s="6">
        <f t="shared" si="3"/>
        <v>1553.8028253300001</v>
      </c>
      <c r="P11" s="6">
        <f t="shared" si="3"/>
        <v>0</v>
      </c>
      <c r="Q11" s="6">
        <v>0</v>
      </c>
      <c r="R11" s="6">
        <f t="shared" ref="R11" si="4">SUM(C11,D11,E11,I11,J11,K11,L11,M11,N11,O11,P11,Q11)</f>
        <v>4361.8031054952899</v>
      </c>
      <c r="S11" s="6"/>
      <c r="T11" s="6">
        <f>SUM(T10:T10)</f>
        <v>4361.8031054952899</v>
      </c>
    </row>
    <row r="12" spans="1:29" ht="18" customHeight="1">
      <c r="C12" s="6"/>
      <c r="D12" s="6"/>
      <c r="F12" s="6"/>
      <c r="G12" s="6"/>
      <c r="H12" s="6"/>
      <c r="I12" s="6"/>
      <c r="J12" s="6"/>
      <c r="K12" s="6"/>
      <c r="L12" s="6"/>
      <c r="M12" s="6"/>
      <c r="N12" s="6"/>
      <c r="O12" s="6"/>
      <c r="P12" s="6"/>
      <c r="Q12" s="6"/>
      <c r="R12" s="6"/>
      <c r="S12" s="6"/>
    </row>
    <row r="13" spans="1:29" ht="50.25" customHeight="1">
      <c r="A13" s="39" t="s">
        <v>120</v>
      </c>
      <c r="B13" s="18" t="s">
        <v>0</v>
      </c>
      <c r="C13" s="35" t="s">
        <v>32</v>
      </c>
      <c r="D13" s="45" t="s">
        <v>33</v>
      </c>
      <c r="E13" s="21" t="s">
        <v>35</v>
      </c>
      <c r="F13" s="74" t="s">
        <v>108</v>
      </c>
      <c r="G13" s="35" t="s">
        <v>30</v>
      </c>
      <c r="H13" s="35" t="s">
        <v>31</v>
      </c>
      <c r="I13" s="74" t="s">
        <v>106</v>
      </c>
      <c r="J13" s="35" t="s">
        <v>42</v>
      </c>
      <c r="K13" s="12" t="s">
        <v>1</v>
      </c>
      <c r="M13" s="46"/>
      <c r="N13" s="46"/>
      <c r="O13" s="46"/>
      <c r="P13" s="46"/>
      <c r="Q13" s="46"/>
      <c r="R13" s="6"/>
      <c r="S13" s="6"/>
    </row>
    <row r="14" spans="1:29" ht="18" customHeight="1">
      <c r="A14" s="1" t="s">
        <v>119</v>
      </c>
      <c r="B14" s="1">
        <v>0</v>
      </c>
      <c r="C14" s="48">
        <f>SUM(C10:E10)</f>
        <v>1458.6646876033058</v>
      </c>
      <c r="D14" s="6">
        <f>I10</f>
        <v>332.61040000000003</v>
      </c>
      <c r="E14" s="48">
        <f>M10</f>
        <v>36.936499999999995</v>
      </c>
      <c r="F14" s="48">
        <f>SUM(J10:L10)</f>
        <v>863.13580000000002</v>
      </c>
      <c r="G14" s="6">
        <f>N10</f>
        <v>116.65289256198348</v>
      </c>
      <c r="H14" s="6">
        <f>O10</f>
        <v>1553.8028253300001</v>
      </c>
      <c r="I14" s="6">
        <v>0</v>
      </c>
      <c r="J14" s="6">
        <f t="shared" ref="J14" si="5">SUM(C14:I14)</f>
        <v>4361.8031054952899</v>
      </c>
      <c r="K14" s="36">
        <v>1</v>
      </c>
    </row>
    <row r="15" spans="1:29" ht="18" customHeight="1">
      <c r="A15" s="40" t="s">
        <v>27</v>
      </c>
      <c r="B15" s="16"/>
      <c r="C15" s="6">
        <f t="shared" ref="C15:J15" si="6">SUM(C14:C14)</f>
        <v>1458.6646876033058</v>
      </c>
      <c r="D15" s="6">
        <f t="shared" si="6"/>
        <v>332.61040000000003</v>
      </c>
      <c r="E15" s="6">
        <f t="shared" si="6"/>
        <v>36.936499999999995</v>
      </c>
      <c r="F15" s="6">
        <f t="shared" si="6"/>
        <v>863.13580000000002</v>
      </c>
      <c r="G15" s="6">
        <f t="shared" si="6"/>
        <v>116.65289256198348</v>
      </c>
      <c r="H15" s="6">
        <f t="shared" si="6"/>
        <v>1553.8028253300001</v>
      </c>
      <c r="I15" s="6">
        <f t="shared" si="6"/>
        <v>0</v>
      </c>
      <c r="J15" s="6">
        <f t="shared" si="6"/>
        <v>4361.8031054952899</v>
      </c>
      <c r="K15" s="36"/>
    </row>
    <row r="17" spans="1:16" ht="45.75" customHeight="1">
      <c r="A17" s="39" t="s">
        <v>107</v>
      </c>
      <c r="B17" s="18" t="s">
        <v>0</v>
      </c>
      <c r="C17" s="35" t="s">
        <v>32</v>
      </c>
      <c r="D17" s="45" t="s">
        <v>33</v>
      </c>
      <c r="E17" s="21" t="s">
        <v>35</v>
      </c>
      <c r="F17" s="74" t="s">
        <v>108</v>
      </c>
      <c r="G17" s="35" t="s">
        <v>30</v>
      </c>
      <c r="H17" s="35" t="s">
        <v>31</v>
      </c>
      <c r="I17" s="35" t="s">
        <v>43</v>
      </c>
      <c r="J17" s="35" t="s">
        <v>44</v>
      </c>
    </row>
    <row r="18" spans="1:16" ht="18" customHeight="1">
      <c r="A18" s="1" t="s">
        <v>119</v>
      </c>
      <c r="B18" s="1">
        <v>0</v>
      </c>
      <c r="C18" s="48">
        <f t="shared" ref="C18:H18" si="7">C14*$K14</f>
        <v>1458.6646876033058</v>
      </c>
      <c r="D18" s="48">
        <f t="shared" si="7"/>
        <v>332.61040000000003</v>
      </c>
      <c r="E18" s="48">
        <f t="shared" si="7"/>
        <v>36.936499999999995</v>
      </c>
      <c r="F18" s="48">
        <f t="shared" si="7"/>
        <v>863.13580000000002</v>
      </c>
      <c r="G18" s="48">
        <f t="shared" si="7"/>
        <v>116.65289256198348</v>
      </c>
      <c r="H18" s="48">
        <f t="shared" si="7"/>
        <v>1553.8028253300001</v>
      </c>
      <c r="I18" s="48">
        <f t="shared" ref="I18" si="8">SUM(C18:H18)</f>
        <v>4361.8031054952899</v>
      </c>
      <c r="J18" s="50">
        <f>I18/I$19</f>
        <v>1</v>
      </c>
    </row>
    <row r="19" spans="1:16" ht="18" customHeight="1">
      <c r="A19" s="40" t="s">
        <v>27</v>
      </c>
      <c r="B19" s="16"/>
      <c r="C19" s="6">
        <f t="shared" ref="C19:I19" si="9">SUM(C18:C18)</f>
        <v>1458.6646876033058</v>
      </c>
      <c r="D19" s="6">
        <f t="shared" si="9"/>
        <v>332.61040000000003</v>
      </c>
      <c r="E19" s="6">
        <f t="shared" si="9"/>
        <v>36.936499999999995</v>
      </c>
      <c r="F19" s="6">
        <f t="shared" si="9"/>
        <v>863.13580000000002</v>
      </c>
      <c r="G19" s="6">
        <f t="shared" si="9"/>
        <v>116.65289256198348</v>
      </c>
      <c r="H19" s="6">
        <f t="shared" si="9"/>
        <v>1553.8028253300001</v>
      </c>
      <c r="I19" s="6">
        <f t="shared" si="9"/>
        <v>4361.8031054952899</v>
      </c>
      <c r="J19" s="50">
        <f>I19/I$19</f>
        <v>1</v>
      </c>
    </row>
    <row r="20" spans="1:16" ht="18" customHeight="1">
      <c r="A20" s="51" t="s">
        <v>46</v>
      </c>
      <c r="C20" s="52">
        <f t="shared" ref="C20:I20" si="10">C19/$I19</f>
        <v>0.33441782041137597</v>
      </c>
      <c r="D20" s="52">
        <f t="shared" si="10"/>
        <v>7.6255253150000119E-2</v>
      </c>
      <c r="E20" s="52">
        <f t="shared" si="10"/>
        <v>8.4681722458918272E-3</v>
      </c>
      <c r="F20" s="52">
        <f t="shared" si="10"/>
        <v>0.19788508997862927</v>
      </c>
      <c r="G20" s="52">
        <f t="shared" si="10"/>
        <v>2.6744190359032118E-2</v>
      </c>
      <c r="H20" s="52">
        <f t="shared" si="10"/>
        <v>0.35622947385507059</v>
      </c>
      <c r="I20" s="52">
        <f t="shared" si="10"/>
        <v>1</v>
      </c>
    </row>
    <row r="24" spans="1:16" ht="18" customHeight="1">
      <c r="A24" s="73" t="s">
        <v>109</v>
      </c>
      <c r="B24" s="5" t="s">
        <v>85</v>
      </c>
      <c r="N24" s="68"/>
      <c r="P24" s="68"/>
    </row>
    <row r="25" spans="1:16" ht="18" customHeight="1">
      <c r="A25">
        <v>150</v>
      </c>
      <c r="B25" s="67">
        <v>0.29766611598545767</v>
      </c>
      <c r="N25" s="43"/>
      <c r="O25" s="52"/>
    </row>
    <row r="26" spans="1:16" ht="18" customHeight="1">
      <c r="A26">
        <v>175</v>
      </c>
      <c r="B26" s="67">
        <v>0.33086269953391334</v>
      </c>
      <c r="N26" s="43"/>
      <c r="O26" s="52"/>
    </row>
    <row r="27" spans="1:16" ht="18" customHeight="1">
      <c r="A27">
        <v>189.9</v>
      </c>
      <c r="B27" s="67">
        <v>0.34919622934613209</v>
      </c>
      <c r="N27" s="43"/>
      <c r="O27" s="52"/>
    </row>
    <row r="28" spans="1:16" ht="18" customHeight="1">
      <c r="A28">
        <v>200</v>
      </c>
      <c r="B28" s="67">
        <v>0.36106277047578494</v>
      </c>
      <c r="N28" s="43"/>
      <c r="O28" s="52"/>
    </row>
    <row r="29" spans="1:16" ht="18" customHeight="1">
      <c r="B29" s="67"/>
      <c r="N29" s="43"/>
      <c r="O29" s="52"/>
    </row>
    <row r="30" spans="1:16" ht="18" customHeight="1">
      <c r="B30" s="67"/>
      <c r="N30" s="43"/>
      <c r="O30" s="52"/>
    </row>
    <row r="31" spans="1:16" ht="18" customHeight="1">
      <c r="B31" s="67"/>
      <c r="O31" s="52"/>
    </row>
    <row r="32" spans="1:16" ht="18" customHeight="1">
      <c r="B32" s="67"/>
    </row>
    <row r="35" spans="1:2" ht="18" customHeight="1">
      <c r="A35" s="73" t="s">
        <v>117</v>
      </c>
      <c r="B35" s="78" t="s">
        <v>118</v>
      </c>
    </row>
    <row r="36" spans="1:2" ht="18" customHeight="1">
      <c r="A36">
        <v>47.8</v>
      </c>
      <c r="B36" s="9">
        <f>C20+D20</f>
        <v>0.41067307356137606</v>
      </c>
    </row>
    <row r="37" spans="1:2" ht="18" customHeight="1">
      <c r="A37">
        <v>44.4</v>
      </c>
      <c r="B37" s="9">
        <v>0.40371686332817197</v>
      </c>
    </row>
  </sheetData>
  <phoneticPr fontId="2" type="noConversion"/>
  <pageMargins left="0.4" right="0.34" top="0.28000000000000003" bottom="0.21" header="0.5" footer="0.5"/>
  <pageSetup paperSize="3" orientation="landscape"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dimension ref="A1:I26"/>
  <sheetViews>
    <sheetView workbookViewId="0">
      <selection activeCell="E4" sqref="E4"/>
    </sheetView>
  </sheetViews>
  <sheetFormatPr defaultRowHeight="12.75"/>
  <cols>
    <col min="1" max="1" width="15.85546875" customWidth="1"/>
    <col min="2" max="2" width="10.5703125" style="54" customWidth="1"/>
    <col min="3" max="4" width="12.42578125" style="5" customWidth="1"/>
    <col min="5" max="5" width="45.85546875" style="65" customWidth="1"/>
    <col min="255" max="255" width="15.85546875" customWidth="1"/>
    <col min="256" max="256" width="10.5703125" customWidth="1"/>
    <col min="257" max="258" width="13.140625" customWidth="1"/>
    <col min="259" max="260" width="12.42578125" customWidth="1"/>
    <col min="261" max="261" width="45.85546875" customWidth="1"/>
    <col min="511" max="511" width="15.85546875" customWidth="1"/>
    <col min="512" max="512" width="10.5703125" customWidth="1"/>
    <col min="513" max="514" width="13.140625" customWidth="1"/>
    <col min="515" max="516" width="12.42578125" customWidth="1"/>
    <col min="517" max="517" width="45.85546875" customWidth="1"/>
    <col min="767" max="767" width="15.85546875" customWidth="1"/>
    <col min="768" max="768" width="10.5703125" customWidth="1"/>
    <col min="769" max="770" width="13.140625" customWidth="1"/>
    <col min="771" max="772" width="12.42578125" customWidth="1"/>
    <col min="773" max="773" width="45.85546875" customWidth="1"/>
    <col min="1023" max="1023" width="15.85546875" customWidth="1"/>
    <col min="1024" max="1024" width="10.5703125" customWidth="1"/>
    <col min="1025" max="1026" width="13.140625" customWidth="1"/>
    <col min="1027" max="1028" width="12.42578125" customWidth="1"/>
    <col min="1029" max="1029" width="45.85546875" customWidth="1"/>
    <col min="1279" max="1279" width="15.85546875" customWidth="1"/>
    <col min="1280" max="1280" width="10.5703125" customWidth="1"/>
    <col min="1281" max="1282" width="13.140625" customWidth="1"/>
    <col min="1283" max="1284" width="12.42578125" customWidth="1"/>
    <col min="1285" max="1285" width="45.85546875" customWidth="1"/>
    <col min="1535" max="1535" width="15.85546875" customWidth="1"/>
    <col min="1536" max="1536" width="10.5703125" customWidth="1"/>
    <col min="1537" max="1538" width="13.140625" customWidth="1"/>
    <col min="1539" max="1540" width="12.42578125" customWidth="1"/>
    <col min="1541" max="1541" width="45.85546875" customWidth="1"/>
    <col min="1791" max="1791" width="15.85546875" customWidth="1"/>
    <col min="1792" max="1792" width="10.5703125" customWidth="1"/>
    <col min="1793" max="1794" width="13.140625" customWidth="1"/>
    <col min="1795" max="1796" width="12.42578125" customWidth="1"/>
    <col min="1797" max="1797" width="45.85546875" customWidth="1"/>
    <col min="2047" max="2047" width="15.85546875" customWidth="1"/>
    <col min="2048" max="2048" width="10.5703125" customWidth="1"/>
    <col min="2049" max="2050" width="13.140625" customWidth="1"/>
    <col min="2051" max="2052" width="12.42578125" customWidth="1"/>
    <col min="2053" max="2053" width="45.85546875" customWidth="1"/>
    <col min="2303" max="2303" width="15.85546875" customWidth="1"/>
    <col min="2304" max="2304" width="10.5703125" customWidth="1"/>
    <col min="2305" max="2306" width="13.140625" customWidth="1"/>
    <col min="2307" max="2308" width="12.42578125" customWidth="1"/>
    <col min="2309" max="2309" width="45.85546875" customWidth="1"/>
    <col min="2559" max="2559" width="15.85546875" customWidth="1"/>
    <col min="2560" max="2560" width="10.5703125" customWidth="1"/>
    <col min="2561" max="2562" width="13.140625" customWidth="1"/>
    <col min="2563" max="2564" width="12.42578125" customWidth="1"/>
    <col min="2565" max="2565" width="45.85546875" customWidth="1"/>
    <col min="2815" max="2815" width="15.85546875" customWidth="1"/>
    <col min="2816" max="2816" width="10.5703125" customWidth="1"/>
    <col min="2817" max="2818" width="13.140625" customWidth="1"/>
    <col min="2819" max="2820" width="12.42578125" customWidth="1"/>
    <col min="2821" max="2821" width="45.85546875" customWidth="1"/>
    <col min="3071" max="3071" width="15.85546875" customWidth="1"/>
    <col min="3072" max="3072" width="10.5703125" customWidth="1"/>
    <col min="3073" max="3074" width="13.140625" customWidth="1"/>
    <col min="3075" max="3076" width="12.42578125" customWidth="1"/>
    <col min="3077" max="3077" width="45.85546875" customWidth="1"/>
    <col min="3327" max="3327" width="15.85546875" customWidth="1"/>
    <col min="3328" max="3328" width="10.5703125" customWidth="1"/>
    <col min="3329" max="3330" width="13.140625" customWidth="1"/>
    <col min="3331" max="3332" width="12.42578125" customWidth="1"/>
    <col min="3333" max="3333" width="45.85546875" customWidth="1"/>
    <col min="3583" max="3583" width="15.85546875" customWidth="1"/>
    <col min="3584" max="3584" width="10.5703125" customWidth="1"/>
    <col min="3585" max="3586" width="13.140625" customWidth="1"/>
    <col min="3587" max="3588" width="12.42578125" customWidth="1"/>
    <col min="3589" max="3589" width="45.85546875" customWidth="1"/>
    <col min="3839" max="3839" width="15.85546875" customWidth="1"/>
    <col min="3840" max="3840" width="10.5703125" customWidth="1"/>
    <col min="3841" max="3842" width="13.140625" customWidth="1"/>
    <col min="3843" max="3844" width="12.42578125" customWidth="1"/>
    <col min="3845" max="3845" width="45.85546875" customWidth="1"/>
    <col min="4095" max="4095" width="15.85546875" customWidth="1"/>
    <col min="4096" max="4096" width="10.5703125" customWidth="1"/>
    <col min="4097" max="4098" width="13.140625" customWidth="1"/>
    <col min="4099" max="4100" width="12.42578125" customWidth="1"/>
    <col min="4101" max="4101" width="45.85546875" customWidth="1"/>
    <col min="4351" max="4351" width="15.85546875" customWidth="1"/>
    <col min="4352" max="4352" width="10.5703125" customWidth="1"/>
    <col min="4353" max="4354" width="13.140625" customWidth="1"/>
    <col min="4355" max="4356" width="12.42578125" customWidth="1"/>
    <col min="4357" max="4357" width="45.85546875" customWidth="1"/>
    <col min="4607" max="4607" width="15.85546875" customWidth="1"/>
    <col min="4608" max="4608" width="10.5703125" customWidth="1"/>
    <col min="4609" max="4610" width="13.140625" customWidth="1"/>
    <col min="4611" max="4612" width="12.42578125" customWidth="1"/>
    <col min="4613" max="4613" width="45.85546875" customWidth="1"/>
    <col min="4863" max="4863" width="15.85546875" customWidth="1"/>
    <col min="4864" max="4864" width="10.5703125" customWidth="1"/>
    <col min="4865" max="4866" width="13.140625" customWidth="1"/>
    <col min="4867" max="4868" width="12.42578125" customWidth="1"/>
    <col min="4869" max="4869" width="45.85546875" customWidth="1"/>
    <col min="5119" max="5119" width="15.85546875" customWidth="1"/>
    <col min="5120" max="5120" width="10.5703125" customWidth="1"/>
    <col min="5121" max="5122" width="13.140625" customWidth="1"/>
    <col min="5123" max="5124" width="12.42578125" customWidth="1"/>
    <col min="5125" max="5125" width="45.85546875" customWidth="1"/>
    <col min="5375" max="5375" width="15.85546875" customWidth="1"/>
    <col min="5376" max="5376" width="10.5703125" customWidth="1"/>
    <col min="5377" max="5378" width="13.140625" customWidth="1"/>
    <col min="5379" max="5380" width="12.42578125" customWidth="1"/>
    <col min="5381" max="5381" width="45.85546875" customWidth="1"/>
    <col min="5631" max="5631" width="15.85546875" customWidth="1"/>
    <col min="5632" max="5632" width="10.5703125" customWidth="1"/>
    <col min="5633" max="5634" width="13.140625" customWidth="1"/>
    <col min="5635" max="5636" width="12.42578125" customWidth="1"/>
    <col min="5637" max="5637" width="45.85546875" customWidth="1"/>
    <col min="5887" max="5887" width="15.85546875" customWidth="1"/>
    <col min="5888" max="5888" width="10.5703125" customWidth="1"/>
    <col min="5889" max="5890" width="13.140625" customWidth="1"/>
    <col min="5891" max="5892" width="12.42578125" customWidth="1"/>
    <col min="5893" max="5893" width="45.85546875" customWidth="1"/>
    <col min="6143" max="6143" width="15.85546875" customWidth="1"/>
    <col min="6144" max="6144" width="10.5703125" customWidth="1"/>
    <col min="6145" max="6146" width="13.140625" customWidth="1"/>
    <col min="6147" max="6148" width="12.42578125" customWidth="1"/>
    <col min="6149" max="6149" width="45.85546875" customWidth="1"/>
    <col min="6399" max="6399" width="15.85546875" customWidth="1"/>
    <col min="6400" max="6400" width="10.5703125" customWidth="1"/>
    <col min="6401" max="6402" width="13.140625" customWidth="1"/>
    <col min="6403" max="6404" width="12.42578125" customWidth="1"/>
    <col min="6405" max="6405" width="45.85546875" customWidth="1"/>
    <col min="6655" max="6655" width="15.85546875" customWidth="1"/>
    <col min="6656" max="6656" width="10.5703125" customWidth="1"/>
    <col min="6657" max="6658" width="13.140625" customWidth="1"/>
    <col min="6659" max="6660" width="12.42578125" customWidth="1"/>
    <col min="6661" max="6661" width="45.85546875" customWidth="1"/>
    <col min="6911" max="6911" width="15.85546875" customWidth="1"/>
    <col min="6912" max="6912" width="10.5703125" customWidth="1"/>
    <col min="6913" max="6914" width="13.140625" customWidth="1"/>
    <col min="6915" max="6916" width="12.42578125" customWidth="1"/>
    <col min="6917" max="6917" width="45.85546875" customWidth="1"/>
    <col min="7167" max="7167" width="15.85546875" customWidth="1"/>
    <col min="7168" max="7168" width="10.5703125" customWidth="1"/>
    <col min="7169" max="7170" width="13.140625" customWidth="1"/>
    <col min="7171" max="7172" width="12.42578125" customWidth="1"/>
    <col min="7173" max="7173" width="45.85546875" customWidth="1"/>
    <col min="7423" max="7423" width="15.85546875" customWidth="1"/>
    <col min="7424" max="7424" width="10.5703125" customWidth="1"/>
    <col min="7425" max="7426" width="13.140625" customWidth="1"/>
    <col min="7427" max="7428" width="12.42578125" customWidth="1"/>
    <col min="7429" max="7429" width="45.85546875" customWidth="1"/>
    <col min="7679" max="7679" width="15.85546875" customWidth="1"/>
    <col min="7680" max="7680" width="10.5703125" customWidth="1"/>
    <col min="7681" max="7682" width="13.140625" customWidth="1"/>
    <col min="7683" max="7684" width="12.42578125" customWidth="1"/>
    <col min="7685" max="7685" width="45.85546875" customWidth="1"/>
    <col min="7935" max="7935" width="15.85546875" customWidth="1"/>
    <col min="7936" max="7936" width="10.5703125" customWidth="1"/>
    <col min="7937" max="7938" width="13.140625" customWidth="1"/>
    <col min="7939" max="7940" width="12.42578125" customWidth="1"/>
    <col min="7941" max="7941" width="45.85546875" customWidth="1"/>
    <col min="8191" max="8191" width="15.85546875" customWidth="1"/>
    <col min="8192" max="8192" width="10.5703125" customWidth="1"/>
    <col min="8193" max="8194" width="13.140625" customWidth="1"/>
    <col min="8195" max="8196" width="12.42578125" customWidth="1"/>
    <col min="8197" max="8197" width="45.85546875" customWidth="1"/>
    <col min="8447" max="8447" width="15.85546875" customWidth="1"/>
    <col min="8448" max="8448" width="10.5703125" customWidth="1"/>
    <col min="8449" max="8450" width="13.140625" customWidth="1"/>
    <col min="8451" max="8452" width="12.42578125" customWidth="1"/>
    <col min="8453" max="8453" width="45.85546875" customWidth="1"/>
    <col min="8703" max="8703" width="15.85546875" customWidth="1"/>
    <col min="8704" max="8704" width="10.5703125" customWidth="1"/>
    <col min="8705" max="8706" width="13.140625" customWidth="1"/>
    <col min="8707" max="8708" width="12.42578125" customWidth="1"/>
    <col min="8709" max="8709" width="45.85546875" customWidth="1"/>
    <col min="8959" max="8959" width="15.85546875" customWidth="1"/>
    <col min="8960" max="8960" width="10.5703125" customWidth="1"/>
    <col min="8961" max="8962" width="13.140625" customWidth="1"/>
    <col min="8963" max="8964" width="12.42578125" customWidth="1"/>
    <col min="8965" max="8965" width="45.85546875" customWidth="1"/>
    <col min="9215" max="9215" width="15.85546875" customWidth="1"/>
    <col min="9216" max="9216" width="10.5703125" customWidth="1"/>
    <col min="9217" max="9218" width="13.140625" customWidth="1"/>
    <col min="9219" max="9220" width="12.42578125" customWidth="1"/>
    <col min="9221" max="9221" width="45.85546875" customWidth="1"/>
    <col min="9471" max="9471" width="15.85546875" customWidth="1"/>
    <col min="9472" max="9472" width="10.5703125" customWidth="1"/>
    <col min="9473" max="9474" width="13.140625" customWidth="1"/>
    <col min="9475" max="9476" width="12.42578125" customWidth="1"/>
    <col min="9477" max="9477" width="45.85546875" customWidth="1"/>
    <col min="9727" max="9727" width="15.85546875" customWidth="1"/>
    <col min="9728" max="9728" width="10.5703125" customWidth="1"/>
    <col min="9729" max="9730" width="13.140625" customWidth="1"/>
    <col min="9731" max="9732" width="12.42578125" customWidth="1"/>
    <col min="9733" max="9733" width="45.85546875" customWidth="1"/>
    <col min="9983" max="9983" width="15.85546875" customWidth="1"/>
    <col min="9984" max="9984" width="10.5703125" customWidth="1"/>
    <col min="9985" max="9986" width="13.140625" customWidth="1"/>
    <col min="9987" max="9988" width="12.42578125" customWidth="1"/>
    <col min="9989" max="9989" width="45.85546875" customWidth="1"/>
    <col min="10239" max="10239" width="15.85546875" customWidth="1"/>
    <col min="10240" max="10240" width="10.5703125" customWidth="1"/>
    <col min="10241" max="10242" width="13.140625" customWidth="1"/>
    <col min="10243" max="10244" width="12.42578125" customWidth="1"/>
    <col min="10245" max="10245" width="45.85546875" customWidth="1"/>
    <col min="10495" max="10495" width="15.85546875" customWidth="1"/>
    <col min="10496" max="10496" width="10.5703125" customWidth="1"/>
    <col min="10497" max="10498" width="13.140625" customWidth="1"/>
    <col min="10499" max="10500" width="12.42578125" customWidth="1"/>
    <col min="10501" max="10501" width="45.85546875" customWidth="1"/>
    <col min="10751" max="10751" width="15.85546875" customWidth="1"/>
    <col min="10752" max="10752" width="10.5703125" customWidth="1"/>
    <col min="10753" max="10754" width="13.140625" customWidth="1"/>
    <col min="10755" max="10756" width="12.42578125" customWidth="1"/>
    <col min="10757" max="10757" width="45.85546875" customWidth="1"/>
    <col min="11007" max="11007" width="15.85546875" customWidth="1"/>
    <col min="11008" max="11008" width="10.5703125" customWidth="1"/>
    <col min="11009" max="11010" width="13.140625" customWidth="1"/>
    <col min="11011" max="11012" width="12.42578125" customWidth="1"/>
    <col min="11013" max="11013" width="45.85546875" customWidth="1"/>
    <col min="11263" max="11263" width="15.85546875" customWidth="1"/>
    <col min="11264" max="11264" width="10.5703125" customWidth="1"/>
    <col min="11265" max="11266" width="13.140625" customWidth="1"/>
    <col min="11267" max="11268" width="12.42578125" customWidth="1"/>
    <col min="11269" max="11269" width="45.85546875" customWidth="1"/>
    <col min="11519" max="11519" width="15.85546875" customWidth="1"/>
    <col min="11520" max="11520" width="10.5703125" customWidth="1"/>
    <col min="11521" max="11522" width="13.140625" customWidth="1"/>
    <col min="11523" max="11524" width="12.42578125" customWidth="1"/>
    <col min="11525" max="11525" width="45.85546875" customWidth="1"/>
    <col min="11775" max="11775" width="15.85546875" customWidth="1"/>
    <col min="11776" max="11776" width="10.5703125" customWidth="1"/>
    <col min="11777" max="11778" width="13.140625" customWidth="1"/>
    <col min="11779" max="11780" width="12.42578125" customWidth="1"/>
    <col min="11781" max="11781" width="45.85546875" customWidth="1"/>
    <col min="12031" max="12031" width="15.85546875" customWidth="1"/>
    <col min="12032" max="12032" width="10.5703125" customWidth="1"/>
    <col min="12033" max="12034" width="13.140625" customWidth="1"/>
    <col min="12035" max="12036" width="12.42578125" customWidth="1"/>
    <col min="12037" max="12037" width="45.85546875" customWidth="1"/>
    <col min="12287" max="12287" width="15.85546875" customWidth="1"/>
    <col min="12288" max="12288" width="10.5703125" customWidth="1"/>
    <col min="12289" max="12290" width="13.140625" customWidth="1"/>
    <col min="12291" max="12292" width="12.42578125" customWidth="1"/>
    <col min="12293" max="12293" width="45.85546875" customWidth="1"/>
    <col min="12543" max="12543" width="15.85546875" customWidth="1"/>
    <col min="12544" max="12544" width="10.5703125" customWidth="1"/>
    <col min="12545" max="12546" width="13.140625" customWidth="1"/>
    <col min="12547" max="12548" width="12.42578125" customWidth="1"/>
    <col min="12549" max="12549" width="45.85546875" customWidth="1"/>
    <col min="12799" max="12799" width="15.85546875" customWidth="1"/>
    <col min="12800" max="12800" width="10.5703125" customWidth="1"/>
    <col min="12801" max="12802" width="13.140625" customWidth="1"/>
    <col min="12803" max="12804" width="12.42578125" customWidth="1"/>
    <col min="12805" max="12805" width="45.85546875" customWidth="1"/>
    <col min="13055" max="13055" width="15.85546875" customWidth="1"/>
    <col min="13056" max="13056" width="10.5703125" customWidth="1"/>
    <col min="13057" max="13058" width="13.140625" customWidth="1"/>
    <col min="13059" max="13060" width="12.42578125" customWidth="1"/>
    <col min="13061" max="13061" width="45.85546875" customWidth="1"/>
    <col min="13311" max="13311" width="15.85546875" customWidth="1"/>
    <col min="13312" max="13312" width="10.5703125" customWidth="1"/>
    <col min="13313" max="13314" width="13.140625" customWidth="1"/>
    <col min="13315" max="13316" width="12.42578125" customWidth="1"/>
    <col min="13317" max="13317" width="45.85546875" customWidth="1"/>
    <col min="13567" max="13567" width="15.85546875" customWidth="1"/>
    <col min="13568" max="13568" width="10.5703125" customWidth="1"/>
    <col min="13569" max="13570" width="13.140625" customWidth="1"/>
    <col min="13571" max="13572" width="12.42578125" customWidth="1"/>
    <col min="13573" max="13573" width="45.85546875" customWidth="1"/>
    <col min="13823" max="13823" width="15.85546875" customWidth="1"/>
    <col min="13824" max="13824" width="10.5703125" customWidth="1"/>
    <col min="13825" max="13826" width="13.140625" customWidth="1"/>
    <col min="13827" max="13828" width="12.42578125" customWidth="1"/>
    <col min="13829" max="13829" width="45.85546875" customWidth="1"/>
    <col min="14079" max="14079" width="15.85546875" customWidth="1"/>
    <col min="14080" max="14080" width="10.5703125" customWidth="1"/>
    <col min="14081" max="14082" width="13.140625" customWidth="1"/>
    <col min="14083" max="14084" width="12.42578125" customWidth="1"/>
    <col min="14085" max="14085" width="45.85546875" customWidth="1"/>
    <col min="14335" max="14335" width="15.85546875" customWidth="1"/>
    <col min="14336" max="14336" width="10.5703125" customWidth="1"/>
    <col min="14337" max="14338" width="13.140625" customWidth="1"/>
    <col min="14339" max="14340" width="12.42578125" customWidth="1"/>
    <col min="14341" max="14341" width="45.85546875" customWidth="1"/>
    <col min="14591" max="14591" width="15.85546875" customWidth="1"/>
    <col min="14592" max="14592" width="10.5703125" customWidth="1"/>
    <col min="14593" max="14594" width="13.140625" customWidth="1"/>
    <col min="14595" max="14596" width="12.42578125" customWidth="1"/>
    <col min="14597" max="14597" width="45.85546875" customWidth="1"/>
    <col min="14847" max="14847" width="15.85546875" customWidth="1"/>
    <col min="14848" max="14848" width="10.5703125" customWidth="1"/>
    <col min="14849" max="14850" width="13.140625" customWidth="1"/>
    <col min="14851" max="14852" width="12.42578125" customWidth="1"/>
    <col min="14853" max="14853" width="45.85546875" customWidth="1"/>
    <col min="15103" max="15103" width="15.85546875" customWidth="1"/>
    <col min="15104" max="15104" width="10.5703125" customWidth="1"/>
    <col min="15105" max="15106" width="13.140625" customWidth="1"/>
    <col min="15107" max="15108" width="12.42578125" customWidth="1"/>
    <col min="15109" max="15109" width="45.85546875" customWidth="1"/>
    <col min="15359" max="15359" width="15.85546875" customWidth="1"/>
    <col min="15360" max="15360" width="10.5703125" customWidth="1"/>
    <col min="15361" max="15362" width="13.140625" customWidth="1"/>
    <col min="15363" max="15364" width="12.42578125" customWidth="1"/>
    <col min="15365" max="15365" width="45.85546875" customWidth="1"/>
    <col min="15615" max="15615" width="15.85546875" customWidth="1"/>
    <col min="15616" max="15616" width="10.5703125" customWidth="1"/>
    <col min="15617" max="15618" width="13.140625" customWidth="1"/>
    <col min="15619" max="15620" width="12.42578125" customWidth="1"/>
    <col min="15621" max="15621" width="45.85546875" customWidth="1"/>
    <col min="15871" max="15871" width="15.85546875" customWidth="1"/>
    <col min="15872" max="15872" width="10.5703125" customWidth="1"/>
    <col min="15873" max="15874" width="13.140625" customWidth="1"/>
    <col min="15875" max="15876" width="12.42578125" customWidth="1"/>
    <col min="15877" max="15877" width="45.85546875" customWidth="1"/>
    <col min="16127" max="16127" width="15.85546875" customWidth="1"/>
    <col min="16128" max="16128" width="10.5703125" customWidth="1"/>
    <col min="16129" max="16130" width="13.140625" customWidth="1"/>
    <col min="16131" max="16132" width="12.42578125" customWidth="1"/>
    <col min="16133" max="16133" width="45.85546875" customWidth="1"/>
  </cols>
  <sheetData>
    <row r="1" spans="1:7" ht="25.5">
      <c r="A1" s="56"/>
      <c r="B1" s="57"/>
      <c r="C1" s="79" t="s">
        <v>47</v>
      </c>
      <c r="D1" s="79"/>
      <c r="E1" s="58" t="s">
        <v>48</v>
      </c>
    </row>
    <row r="2" spans="1:7" s="55" customFormat="1" ht="49.5" customHeight="1">
      <c r="A2" s="59" t="s">
        <v>49</v>
      </c>
      <c r="B2" s="57" t="s">
        <v>50</v>
      </c>
      <c r="C2" s="60" t="s">
        <v>51</v>
      </c>
      <c r="D2" s="60" t="s">
        <v>52</v>
      </c>
      <c r="E2" s="58" t="s">
        <v>53</v>
      </c>
    </row>
    <row r="3" spans="1:7" ht="38.25">
      <c r="A3" s="59" t="s">
        <v>54</v>
      </c>
      <c r="B3" s="61" t="s">
        <v>55</v>
      </c>
      <c r="C3" s="62">
        <f t="shared" ref="C3:C10" si="0">ROUND(D3*2.471/2.205,2)</f>
        <v>22.93</v>
      </c>
      <c r="D3" s="62">
        <f>ROUND(31*0.66,2)</f>
        <v>20.46</v>
      </c>
      <c r="E3" s="66" t="s">
        <v>125</v>
      </c>
    </row>
    <row r="4" spans="1:7" ht="51">
      <c r="A4" s="59" t="s">
        <v>56</v>
      </c>
      <c r="B4" s="61">
        <v>1</v>
      </c>
      <c r="C4" s="62">
        <f t="shared" si="0"/>
        <v>10.199999999999999</v>
      </c>
      <c r="D4" s="62">
        <f>ROUND(30.33*0.3,2)</f>
        <v>9.1</v>
      </c>
      <c r="E4" s="66" t="s">
        <v>80</v>
      </c>
    </row>
    <row r="5" spans="1:7" ht="25.5">
      <c r="A5" s="59" t="s">
        <v>57</v>
      </c>
      <c r="B5" s="61">
        <v>2</v>
      </c>
      <c r="C5" s="62">
        <f t="shared" si="0"/>
        <v>5</v>
      </c>
      <c r="D5" s="62">
        <v>4.46</v>
      </c>
      <c r="E5" s="66" t="s">
        <v>77</v>
      </c>
    </row>
    <row r="6" spans="1:7" ht="51">
      <c r="A6" s="59" t="s">
        <v>58</v>
      </c>
      <c r="B6" s="61" t="s">
        <v>59</v>
      </c>
      <c r="C6" s="62">
        <f t="shared" si="0"/>
        <v>5</v>
      </c>
      <c r="D6" s="62">
        <v>4.46</v>
      </c>
      <c r="E6" s="66" t="s">
        <v>78</v>
      </c>
      <c r="G6" t="s">
        <v>60</v>
      </c>
    </row>
    <row r="7" spans="1:7" ht="76.5">
      <c r="A7" s="59" t="s">
        <v>61</v>
      </c>
      <c r="B7" s="61" t="s">
        <v>62</v>
      </c>
      <c r="C7" s="62">
        <f t="shared" si="0"/>
        <v>1.21</v>
      </c>
      <c r="D7" s="62">
        <v>1.08</v>
      </c>
      <c r="E7" s="66" t="s">
        <v>79</v>
      </c>
      <c r="F7">
        <f>ROUND(3*0.25*2.205*107637/5000,2)</f>
        <v>35.6</v>
      </c>
    </row>
    <row r="8" spans="1:7" ht="76.5">
      <c r="A8" s="59" t="s">
        <v>83</v>
      </c>
      <c r="B8" s="61" t="s">
        <v>63</v>
      </c>
      <c r="C8" s="62">
        <f t="shared" si="0"/>
        <v>10.55</v>
      </c>
      <c r="D8" s="62">
        <f>ROUND(43560/5000*D7,2)</f>
        <v>9.41</v>
      </c>
      <c r="E8" s="63" t="s">
        <v>124</v>
      </c>
    </row>
    <row r="9" spans="1:7" ht="63.75">
      <c r="A9" s="59" t="s">
        <v>64</v>
      </c>
      <c r="B9" s="61">
        <v>7</v>
      </c>
      <c r="C9" s="62">
        <f t="shared" si="0"/>
        <v>26.7</v>
      </c>
      <c r="D9" s="62">
        <v>23.83</v>
      </c>
      <c r="E9" s="66" t="s">
        <v>110</v>
      </c>
    </row>
    <row r="10" spans="1:7" ht="38.25">
      <c r="A10" s="59" t="s">
        <v>65</v>
      </c>
      <c r="B10" s="61">
        <v>8</v>
      </c>
      <c r="C10" s="62">
        <f t="shared" si="0"/>
        <v>29.29</v>
      </c>
      <c r="D10" s="62">
        <f>3*43.56*0.2</f>
        <v>26.136000000000003</v>
      </c>
      <c r="E10" s="66" t="s">
        <v>111</v>
      </c>
    </row>
    <row r="11" spans="1:7" ht="51">
      <c r="A11" s="59" t="s">
        <v>66</v>
      </c>
      <c r="B11" s="61" t="s">
        <v>67</v>
      </c>
      <c r="C11" s="64">
        <f>ROUND(1.5*A17*0.9/39.25*1000*10000/1000000,2)</f>
        <v>16.440000000000001</v>
      </c>
      <c r="D11" s="62">
        <f>ROUND(C11*2.205/2.471,2)</f>
        <v>14.67</v>
      </c>
      <c r="E11" s="66" t="s">
        <v>76</v>
      </c>
    </row>
    <row r="12" spans="1:7" ht="25.5">
      <c r="A12" s="59" t="s">
        <v>68</v>
      </c>
      <c r="B12" s="61" t="s">
        <v>63</v>
      </c>
      <c r="C12" s="64">
        <f>ROUND(0.75*A17*0.9/39.25*1000*10000/1000000,2)</f>
        <v>8.2200000000000006</v>
      </c>
      <c r="D12" s="64">
        <f>ROUND(C12*2.205/2.471,2)</f>
        <v>7.34</v>
      </c>
      <c r="E12" s="63" t="s">
        <v>69</v>
      </c>
    </row>
    <row r="13" spans="1:7" ht="76.5">
      <c r="A13" s="59" t="s">
        <v>70</v>
      </c>
      <c r="B13" s="61">
        <v>20</v>
      </c>
      <c r="C13" s="62">
        <f>ROUND(1.09*A17*0.9/39.25*1000*10000/1000000,2)</f>
        <v>11.95</v>
      </c>
      <c r="D13" s="62">
        <f>ROUND(C13*2.205/2.471,2)</f>
        <v>10.66</v>
      </c>
      <c r="E13" s="63" t="s">
        <v>71</v>
      </c>
    </row>
    <row r="14" spans="1:7" ht="102">
      <c r="A14" s="59" t="s">
        <v>72</v>
      </c>
      <c r="B14" s="61" t="s">
        <v>73</v>
      </c>
      <c r="C14" s="64">
        <f>ROUND(0.072*27.25/39.25*1000*10000/1000000,2)</f>
        <v>0.5</v>
      </c>
      <c r="D14" s="64">
        <f>ROUND(C14*2.205/2.471,2)</f>
        <v>0.45</v>
      </c>
      <c r="E14" s="63" t="s">
        <v>74</v>
      </c>
    </row>
    <row r="15" spans="1:7" ht="38.25">
      <c r="A15" s="59" t="s">
        <v>81</v>
      </c>
      <c r="B15" s="61"/>
      <c r="C15" s="62">
        <f>D15/2.204</f>
        <v>6.5277056250000003</v>
      </c>
      <c r="D15" s="62">
        <f>26.25*A19*0.9*3.785*365/1000000*2.204</f>
        <v>14.387063197500002</v>
      </c>
      <c r="E15" s="66" t="s">
        <v>82</v>
      </c>
    </row>
    <row r="16" spans="1:7">
      <c r="A16" s="80" t="s">
        <v>75</v>
      </c>
      <c r="B16" s="81"/>
      <c r="C16" s="81"/>
      <c r="D16" s="81"/>
      <c r="E16" s="81"/>
    </row>
    <row r="17" spans="1:9" ht="12.75" customHeight="1">
      <c r="A17" s="75">
        <v>47.8</v>
      </c>
      <c r="B17" s="89" t="s">
        <v>112</v>
      </c>
      <c r="C17" s="90"/>
      <c r="D17" s="90"/>
      <c r="E17" s="91"/>
      <c r="F17" s="82" t="s">
        <v>123</v>
      </c>
      <c r="G17" s="83"/>
      <c r="H17" s="83"/>
      <c r="I17" s="83"/>
    </row>
    <row r="18" spans="1:9" ht="12.75" customHeight="1">
      <c r="A18" s="54">
        <f>0.9*A17</f>
        <v>43.019999999999996</v>
      </c>
      <c r="B18" s="92" t="s">
        <v>116</v>
      </c>
      <c r="C18" s="93"/>
      <c r="D18" s="93"/>
      <c r="E18" s="93"/>
      <c r="F18" s="87"/>
      <c r="G18" s="88"/>
      <c r="H18" s="88"/>
      <c r="I18" s="88"/>
    </row>
    <row r="19" spans="1:9" ht="12.75" customHeight="1">
      <c r="A19" s="76">
        <v>200</v>
      </c>
      <c r="B19" s="92" t="s">
        <v>113</v>
      </c>
      <c r="C19" s="93"/>
      <c r="D19" s="93"/>
      <c r="E19" s="93"/>
      <c r="F19" s="86" t="s">
        <v>122</v>
      </c>
      <c r="G19" s="83"/>
      <c r="H19" s="83"/>
      <c r="I19" s="83"/>
    </row>
    <row r="20" spans="1:9" ht="12.75" customHeight="1">
      <c r="A20" s="53">
        <f>150/0.9</f>
        <v>166.66666666666666</v>
      </c>
      <c r="B20" s="92" t="s">
        <v>114</v>
      </c>
      <c r="C20" s="93"/>
      <c r="D20" s="93"/>
      <c r="E20" s="93"/>
      <c r="F20" s="86"/>
      <c r="G20" s="83"/>
      <c r="H20" s="83"/>
      <c r="I20" s="83"/>
    </row>
    <row r="21" spans="1:9" ht="30" customHeight="1">
      <c r="A21" s="77">
        <f>D15+D7+D12*1500/43560+D11*1500/43560</f>
        <v>16.224983307692838</v>
      </c>
      <c r="B21" s="92" t="s">
        <v>115</v>
      </c>
      <c r="C21" s="93"/>
      <c r="D21" s="93"/>
      <c r="E21" s="93"/>
      <c r="F21" s="84"/>
      <c r="G21" s="85"/>
      <c r="H21" s="85"/>
      <c r="I21" s="85"/>
    </row>
    <row r="22" spans="1:9">
      <c r="A22" s="55"/>
      <c r="C22" s="54"/>
      <c r="D22" s="54"/>
    </row>
    <row r="23" spans="1:9">
      <c r="A23" s="55"/>
      <c r="C23" s="54"/>
      <c r="D23" s="54"/>
    </row>
    <row r="24" spans="1:9">
      <c r="A24" s="55"/>
      <c r="C24" s="54"/>
      <c r="D24" s="54"/>
    </row>
    <row r="25" spans="1:9">
      <c r="A25" s="55"/>
      <c r="C25" s="54"/>
      <c r="D25" s="54"/>
    </row>
    <row r="26" spans="1:9">
      <c r="A26" s="55"/>
      <c r="C26" s="54"/>
      <c r="D26" s="54"/>
    </row>
  </sheetData>
  <mergeCells count="12">
    <mergeCell ref="C1:D1"/>
    <mergeCell ref="A16:E16"/>
    <mergeCell ref="F17:I17"/>
    <mergeCell ref="F21:I21"/>
    <mergeCell ref="F19:I19"/>
    <mergeCell ref="F18:I18"/>
    <mergeCell ref="F20:I20"/>
    <mergeCell ref="B17:E17"/>
    <mergeCell ref="B18:E18"/>
    <mergeCell ref="B19:E19"/>
    <mergeCell ref="B20:E20"/>
    <mergeCell ref="B21:E21"/>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dimension ref="A1:H96"/>
  <sheetViews>
    <sheetView workbookViewId="0">
      <selection activeCell="D15" sqref="D15"/>
    </sheetView>
  </sheetViews>
  <sheetFormatPr defaultRowHeight="12.75"/>
  <cols>
    <col min="1" max="1" width="40.7109375" style="1" customWidth="1"/>
    <col min="2" max="2" width="9.28515625" style="1" customWidth="1"/>
    <col min="3" max="3" width="13.5703125" style="43" customWidth="1"/>
    <col min="4" max="5" width="25.7109375" style="1" customWidth="1"/>
    <col min="6" max="6" width="10.7109375" style="3" customWidth="1"/>
  </cols>
  <sheetData>
    <row r="1" spans="1:8">
      <c r="A1" s="1" t="s">
        <v>87</v>
      </c>
      <c r="B1" s="1" t="s">
        <v>88</v>
      </c>
      <c r="C1" s="43" t="s">
        <v>121</v>
      </c>
    </row>
    <row r="2" spans="1:8">
      <c r="A2" s="1" t="s">
        <v>105</v>
      </c>
      <c r="B2" s="1">
        <v>40</v>
      </c>
      <c r="C2" s="43">
        <v>18.993191640900001</v>
      </c>
    </row>
    <row r="3" spans="1:8">
      <c r="A3" s="1" t="s">
        <v>96</v>
      </c>
      <c r="B3" s="1">
        <v>1</v>
      </c>
      <c r="C3" s="43">
        <v>55.219520909700002</v>
      </c>
    </row>
    <row r="4" spans="1:8">
      <c r="A4" s="1" t="s">
        <v>86</v>
      </c>
      <c r="B4" s="1">
        <v>20</v>
      </c>
      <c r="C4" s="43">
        <v>85.7578024317</v>
      </c>
    </row>
    <row r="5" spans="1:8">
      <c r="A5" s="1" t="s">
        <v>89</v>
      </c>
      <c r="B5" s="1">
        <v>3</v>
      </c>
      <c r="C5" s="43">
        <v>622.99414473000002</v>
      </c>
    </row>
    <row r="6" spans="1:8">
      <c r="A6" s="1" t="s">
        <v>104</v>
      </c>
      <c r="B6" s="1">
        <v>37</v>
      </c>
      <c r="C6" s="43">
        <v>165.90218530999999</v>
      </c>
      <c r="G6" s="3"/>
      <c r="H6" s="73"/>
    </row>
    <row r="7" spans="1:8">
      <c r="A7" s="1" t="s">
        <v>102</v>
      </c>
      <c r="B7" s="1">
        <v>26</v>
      </c>
      <c r="C7" s="43">
        <v>1.5494624235200001</v>
      </c>
    </row>
    <row r="8" spans="1:8">
      <c r="A8" s="1" t="s">
        <v>100</v>
      </c>
      <c r="B8" s="1">
        <v>13</v>
      </c>
      <c r="C8" s="43">
        <v>49.547754265099996</v>
      </c>
    </row>
    <row r="9" spans="1:8">
      <c r="A9" s="1" t="s">
        <v>99</v>
      </c>
      <c r="B9" s="1">
        <v>12</v>
      </c>
      <c r="C9" s="43">
        <v>4.4964822198099996E-3</v>
      </c>
    </row>
    <row r="10" spans="1:8">
      <c r="A10" s="1" t="s">
        <v>98</v>
      </c>
      <c r="B10" s="1">
        <v>10</v>
      </c>
      <c r="C10" s="43">
        <v>1.3474497373000001</v>
      </c>
    </row>
    <row r="11" spans="1:8">
      <c r="A11" s="1" t="s">
        <v>90</v>
      </c>
      <c r="B11" s="1">
        <v>4</v>
      </c>
      <c r="C11" s="43">
        <v>52.185098607</v>
      </c>
    </row>
    <row r="12" spans="1:8">
      <c r="A12" s="1" t="s">
        <v>97</v>
      </c>
      <c r="B12" s="1">
        <v>6</v>
      </c>
      <c r="C12" s="43">
        <v>23.823447710699998</v>
      </c>
    </row>
    <row r="13" spans="1:8">
      <c r="A13" s="1" t="s">
        <v>91</v>
      </c>
      <c r="B13" s="1">
        <v>7</v>
      </c>
      <c r="C13" s="43">
        <v>1.9867600518999999E-4</v>
      </c>
    </row>
    <row r="14" spans="1:8">
      <c r="A14" s="1" t="s">
        <v>57</v>
      </c>
      <c r="B14" s="1">
        <v>2</v>
      </c>
      <c r="C14" s="43">
        <v>80.884919337599996</v>
      </c>
    </row>
    <row r="15" spans="1:8">
      <c r="A15" s="1" t="s">
        <v>94</v>
      </c>
      <c r="B15" s="1">
        <v>25</v>
      </c>
      <c r="C15" s="43">
        <v>4.4580591906700002</v>
      </c>
    </row>
    <row r="16" spans="1:8">
      <c r="A16" s="1" t="s">
        <v>92</v>
      </c>
      <c r="B16" s="1">
        <v>14</v>
      </c>
      <c r="C16" s="43">
        <v>187.50750473599999</v>
      </c>
    </row>
    <row r="17" spans="1:3">
      <c r="A17" s="1" t="s">
        <v>101</v>
      </c>
      <c r="B17" s="1">
        <v>17</v>
      </c>
      <c r="C17" s="43">
        <v>0.66979928668300004</v>
      </c>
    </row>
    <row r="18" spans="1:3">
      <c r="A18" s="1" t="s">
        <v>103</v>
      </c>
      <c r="B18" s="1">
        <v>31</v>
      </c>
      <c r="C18" s="43">
        <v>1.11550665452E-2</v>
      </c>
    </row>
    <row r="19" spans="1:3">
      <c r="A19" s="1" t="s">
        <v>95</v>
      </c>
      <c r="B19" s="1">
        <v>38</v>
      </c>
      <c r="C19" s="43">
        <v>42.715393926899999</v>
      </c>
    </row>
    <row r="20" spans="1:3">
      <c r="A20" s="1" t="s">
        <v>93</v>
      </c>
      <c r="B20" s="1">
        <v>20</v>
      </c>
      <c r="C20" s="43">
        <v>2.7388375083700001</v>
      </c>
    </row>
    <row r="82" spans="5:5">
      <c r="E82" s="70"/>
    </row>
    <row r="83" spans="5:5">
      <c r="E83" s="70"/>
    </row>
    <row r="84" spans="5:5">
      <c r="E84" s="70"/>
    </row>
    <row r="85" spans="5:5">
      <c r="E85" s="70"/>
    </row>
    <row r="86" spans="5:5">
      <c r="E86" s="70"/>
    </row>
    <row r="87" spans="5:5">
      <c r="E87" s="70"/>
    </row>
    <row r="88" spans="5:5">
      <c r="E88" s="70"/>
    </row>
    <row r="89" spans="5:5">
      <c r="E89" s="70"/>
    </row>
    <row r="90" spans="5:5">
      <c r="E90" s="70"/>
    </row>
    <row r="91" spans="5:5">
      <c r="E91" s="70"/>
    </row>
    <row r="92" spans="5:5">
      <c r="E92" s="70"/>
    </row>
    <row r="93" spans="5:5">
      <c r="E93" s="70"/>
    </row>
    <row r="94" spans="5:5">
      <c r="E94" s="70"/>
    </row>
    <row r="95" spans="5:5">
      <c r="E95" s="70"/>
    </row>
    <row r="96" spans="5:5">
      <c r="E96" s="70"/>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
  <sheetViews>
    <sheetView tabSelected="1" workbookViewId="0">
      <selection activeCell="G26" sqref="G26"/>
    </sheetView>
  </sheetViews>
  <sheetFormatPr defaultRowHeight="12.7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summary_loads</vt:lpstr>
      <vt:lpstr>coefficients</vt:lpstr>
      <vt:lpstr>MGIS_LU</vt:lpstr>
      <vt:lpstr>Readme</vt:lpstr>
    </vt:vector>
  </TitlesOfParts>
  <Company>BBP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Joe Costa</dc:creator>
  <dc:description>Draft for comment and review.</dc:description>
  <cp:lastModifiedBy>J</cp:lastModifiedBy>
  <cp:lastPrinted>2010-04-30T04:33:51Z</cp:lastPrinted>
  <dcterms:created xsi:type="dcterms:W3CDTF">2010-04-27T23:02:58Z</dcterms:created>
  <dcterms:modified xsi:type="dcterms:W3CDTF">2011-10-19T23:49:19Z</dcterms:modified>
</cp:coreProperties>
</file>