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defaultThemeVersion="124226"/>
  <bookViews>
    <workbookView xWindow="240" yWindow="105" windowWidth="20955" windowHeight="9465" activeTab="3"/>
  </bookViews>
  <sheets>
    <sheet name="summary_loads" sheetId="15" r:id="rId1"/>
    <sheet name="STORM-CSO" sheetId="16" r:id="rId2"/>
    <sheet name="coefficients" sheetId="17" r:id="rId3"/>
    <sheet name="ReadMe" sheetId="18" r:id="rId4"/>
  </sheets>
  <definedNames>
    <definedName name="LOTSIZE">#REF!</definedName>
    <definedName name="LOTSIZEBIN">#REF!</definedName>
    <definedName name="Sub_units">#REF!</definedName>
    <definedName name="UNITS">#REF!</definedName>
  </definedNames>
  <calcPr calcId="125725"/>
</workbook>
</file>

<file path=xl/calcChain.xml><?xml version="1.0" encoding="utf-8"?>
<calcChain xmlns="http://schemas.openxmlformats.org/spreadsheetml/2006/main">
  <c r="D8" i="17"/>
  <c r="I19" i="16"/>
  <c r="I17"/>
  <c r="J18" i="15" s="1"/>
  <c r="I15" i="16"/>
  <c r="J19" i="15"/>
  <c r="J16"/>
  <c r="J15"/>
  <c r="J17"/>
  <c r="H18" i="17"/>
  <c r="D15"/>
  <c r="C15" s="1"/>
  <c r="N35" i="15"/>
  <c r="N36"/>
  <c r="N37"/>
  <c r="N38"/>
  <c r="N34"/>
  <c r="Q3"/>
  <c r="P15" s="1"/>
  <c r="G25" s="1"/>
  <c r="G34" s="1"/>
  <c r="R3"/>
  <c r="O3"/>
  <c r="L3"/>
  <c r="C13" i="17"/>
  <c r="C12"/>
  <c r="C11"/>
  <c r="C14"/>
  <c r="D14" s="1"/>
  <c r="G3" i="15" s="1"/>
  <c r="D13" i="17"/>
  <c r="E3" i="15" s="1"/>
  <c r="D12" i="17"/>
  <c r="J3" i="15" s="1"/>
  <c r="D11" i="17"/>
  <c r="K3" i="15" s="1"/>
  <c r="D10" i="17"/>
  <c r="C10" s="1"/>
  <c r="C9"/>
  <c r="F7"/>
  <c r="C7"/>
  <c r="C6"/>
  <c r="C5"/>
  <c r="D4"/>
  <c r="C4" s="1"/>
  <c r="D3"/>
  <c r="C3" s="1"/>
  <c r="G7" i="16"/>
  <c r="G8"/>
  <c r="G9"/>
  <c r="G10"/>
  <c r="G11"/>
  <c r="G12"/>
  <c r="G13"/>
  <c r="G14"/>
  <c r="G15"/>
  <c r="G16"/>
  <c r="G17"/>
  <c r="G18"/>
  <c r="G19"/>
  <c r="G20"/>
  <c r="G21"/>
  <c r="G22"/>
  <c r="G6"/>
  <c r="G3"/>
  <c r="F3"/>
  <c r="D3"/>
  <c r="E23"/>
  <c r="G23" s="1"/>
  <c r="D23"/>
  <c r="F7"/>
  <c r="F8"/>
  <c r="F9"/>
  <c r="F10"/>
  <c r="F11"/>
  <c r="F12"/>
  <c r="F13"/>
  <c r="F14"/>
  <c r="F15"/>
  <c r="F16"/>
  <c r="F17"/>
  <c r="F18"/>
  <c r="F19"/>
  <c r="F20"/>
  <c r="F21"/>
  <c r="F22"/>
  <c r="F6"/>
  <c r="I34" i="15"/>
  <c r="I35"/>
  <c r="I36"/>
  <c r="I37"/>
  <c r="I33"/>
  <c r="E24"/>
  <c r="E33" s="1"/>
  <c r="S19"/>
  <c r="E29" s="1"/>
  <c r="E38" s="1"/>
  <c r="S18"/>
  <c r="E28" s="1"/>
  <c r="E37" s="1"/>
  <c r="S17"/>
  <c r="E27" s="1"/>
  <c r="E36" s="1"/>
  <c r="S16"/>
  <c r="E26" s="1"/>
  <c r="E35" s="1"/>
  <c r="S15"/>
  <c r="E25" s="1"/>
  <c r="E34" s="1"/>
  <c r="I29"/>
  <c r="I38" s="1"/>
  <c r="R15"/>
  <c r="R16"/>
  <c r="R17"/>
  <c r="R18"/>
  <c r="R19"/>
  <c r="R14"/>
  <c r="R21" s="1"/>
  <c r="Q16"/>
  <c r="H26" s="1"/>
  <c r="O15"/>
  <c r="O16"/>
  <c r="O17"/>
  <c r="O18"/>
  <c r="O19"/>
  <c r="O14"/>
  <c r="O11"/>
  <c r="L15"/>
  <c r="L16"/>
  <c r="L17"/>
  <c r="L18"/>
  <c r="L19"/>
  <c r="L14"/>
  <c r="M6"/>
  <c r="J7"/>
  <c r="J8"/>
  <c r="J9"/>
  <c r="J10"/>
  <c r="J5"/>
  <c r="K6"/>
  <c r="K7"/>
  <c r="K8"/>
  <c r="K9"/>
  <c r="K10"/>
  <c r="J6"/>
  <c r="K5"/>
  <c r="I11"/>
  <c r="H11"/>
  <c r="F6"/>
  <c r="G6" s="1"/>
  <c r="F7"/>
  <c r="G7" s="1"/>
  <c r="F8"/>
  <c r="G8" s="1"/>
  <c r="F9"/>
  <c r="G9" s="1"/>
  <c r="F10"/>
  <c r="G10" s="1"/>
  <c r="F5"/>
  <c r="G5" s="1"/>
  <c r="C11"/>
  <c r="D11"/>
  <c r="E11"/>
  <c r="N11"/>
  <c r="P11"/>
  <c r="R11"/>
  <c r="S11"/>
  <c r="P18" l="1"/>
  <c r="P14"/>
  <c r="P16"/>
  <c r="N50"/>
  <c r="E14"/>
  <c r="G11"/>
  <c r="E39"/>
  <c r="E30"/>
  <c r="P19"/>
  <c r="P17"/>
  <c r="I30"/>
  <c r="G4" i="16"/>
  <c r="G24" s="1"/>
  <c r="H14" i="15"/>
  <c r="D15"/>
  <c r="D17"/>
  <c r="D19"/>
  <c r="D16"/>
  <c r="D18"/>
  <c r="D14"/>
  <c r="G16"/>
  <c r="G18"/>
  <c r="G14"/>
  <c r="F4" i="16"/>
  <c r="G15" i="15"/>
  <c r="G17"/>
  <c r="G19"/>
  <c r="H19"/>
  <c r="D3"/>
  <c r="N3"/>
  <c r="H17"/>
  <c r="H15"/>
  <c r="H18"/>
  <c r="H16"/>
  <c r="H3"/>
  <c r="M3"/>
  <c r="M19" s="1"/>
  <c r="C8" i="17"/>
  <c r="F23" i="16"/>
  <c r="H35" i="15"/>
  <c r="I39"/>
  <c r="T20"/>
  <c r="V20" s="1"/>
  <c r="S21"/>
  <c r="G24"/>
  <c r="Q17"/>
  <c r="H27" s="1"/>
  <c r="Q14"/>
  <c r="H24" s="1"/>
  <c r="G28"/>
  <c r="G37" s="1"/>
  <c r="G26"/>
  <c r="G35" s="1"/>
  <c r="G29"/>
  <c r="G38" s="1"/>
  <c r="G27"/>
  <c r="G36" s="1"/>
  <c r="O21"/>
  <c r="Q19"/>
  <c r="H29" s="1"/>
  <c r="Q15"/>
  <c r="H25" s="1"/>
  <c r="E19"/>
  <c r="E17"/>
  <c r="E15"/>
  <c r="E18"/>
  <c r="E16"/>
  <c r="Q18"/>
  <c r="H28" s="1"/>
  <c r="L21"/>
  <c r="K11"/>
  <c r="J11"/>
  <c r="F11"/>
  <c r="H21" l="1"/>
  <c r="G21"/>
  <c r="M17"/>
  <c r="F24" i="16"/>
  <c r="M14" i="15"/>
  <c r="M16"/>
  <c r="M18"/>
  <c r="C16"/>
  <c r="C18"/>
  <c r="C28" s="1"/>
  <c r="C37" s="1"/>
  <c r="C14"/>
  <c r="C15"/>
  <c r="C17"/>
  <c r="C27" s="1"/>
  <c r="C36" s="1"/>
  <c r="C19"/>
  <c r="C29" s="1"/>
  <c r="C38" s="1"/>
  <c r="C26"/>
  <c r="C35" s="1"/>
  <c r="M15"/>
  <c r="F16"/>
  <c r="I16" s="1"/>
  <c r="K16" s="1"/>
  <c r="F18"/>
  <c r="I18" s="1"/>
  <c r="K18" s="1"/>
  <c r="F14"/>
  <c r="D4" i="16"/>
  <c r="F15" i="15"/>
  <c r="I15" s="1"/>
  <c r="K15" s="1"/>
  <c r="F17"/>
  <c r="I17" s="1"/>
  <c r="K17" s="1"/>
  <c r="F19"/>
  <c r="I19" s="1"/>
  <c r="K19" s="1"/>
  <c r="T19" s="1"/>
  <c r="V19" s="1"/>
  <c r="N16"/>
  <c r="N18"/>
  <c r="T18" s="1"/>
  <c r="V18" s="1"/>
  <c r="N14"/>
  <c r="N15"/>
  <c r="N17"/>
  <c r="F27" s="1"/>
  <c r="N19"/>
  <c r="F29" s="1"/>
  <c r="F38" s="1"/>
  <c r="C25"/>
  <c r="C34" s="1"/>
  <c r="D21"/>
  <c r="G33"/>
  <c r="G39" s="1"/>
  <c r="G30"/>
  <c r="H34"/>
  <c r="H36"/>
  <c r="H37"/>
  <c r="H38"/>
  <c r="H30"/>
  <c r="H33"/>
  <c r="T17"/>
  <c r="V17" s="1"/>
  <c r="Q21"/>
  <c r="T15"/>
  <c r="V15" s="1"/>
  <c r="E21"/>
  <c r="P21"/>
  <c r="M21" l="1"/>
  <c r="H39"/>
  <c r="T16"/>
  <c r="V16" s="1"/>
  <c r="F36"/>
  <c r="H6" i="16"/>
  <c r="H19"/>
  <c r="J19" s="1"/>
  <c r="L19" s="1"/>
  <c r="H15"/>
  <c r="J15" s="1"/>
  <c r="H11"/>
  <c r="J11" s="1"/>
  <c r="L11" s="1"/>
  <c r="D24"/>
  <c r="H22"/>
  <c r="J22" s="1"/>
  <c r="L22" s="1"/>
  <c r="H18"/>
  <c r="H14"/>
  <c r="J14" s="1"/>
  <c r="L14" s="1"/>
  <c r="H10"/>
  <c r="H21"/>
  <c r="J21" s="1"/>
  <c r="L21" s="1"/>
  <c r="H17"/>
  <c r="J17" s="1"/>
  <c r="L17" s="1"/>
  <c r="H13"/>
  <c r="H7"/>
  <c r="J7" s="1"/>
  <c r="L7" s="1"/>
  <c r="H20"/>
  <c r="H16"/>
  <c r="H12"/>
  <c r="H8"/>
  <c r="J8" s="1"/>
  <c r="L8" s="1"/>
  <c r="H9"/>
  <c r="J9" s="1"/>
  <c r="L9" s="1"/>
  <c r="N21" i="15"/>
  <c r="F25"/>
  <c r="C21"/>
  <c r="F26"/>
  <c r="F21"/>
  <c r="I14"/>
  <c r="C24"/>
  <c r="F28"/>
  <c r="F37" s="1"/>
  <c r="F24"/>
  <c r="J12" i="16" l="1"/>
  <c r="L12" s="1"/>
  <c r="D30" i="15"/>
  <c r="J20" i="16"/>
  <c r="L20" s="1"/>
  <c r="D29" i="15"/>
  <c r="J29" s="1"/>
  <c r="L29" s="1"/>
  <c r="J13" i="16"/>
  <c r="L13" s="1"/>
  <c r="D26" i="15"/>
  <c r="J16" i="16"/>
  <c r="L16" s="1"/>
  <c r="D27" i="15"/>
  <c r="J27" s="1"/>
  <c r="L27" s="1"/>
  <c r="J10" i="16"/>
  <c r="D25" i="15"/>
  <c r="J18" i="16"/>
  <c r="L18" s="1"/>
  <c r="D28" i="15"/>
  <c r="J28" s="1"/>
  <c r="L28" s="1"/>
  <c r="D24"/>
  <c r="D38"/>
  <c r="J38" s="1"/>
  <c r="D37"/>
  <c r="J37" s="1"/>
  <c r="L10" i="16"/>
  <c r="D34" i="15"/>
  <c r="D36"/>
  <c r="J36" s="1"/>
  <c r="L15" i="16"/>
  <c r="D35" i="15"/>
  <c r="I21"/>
  <c r="K14"/>
  <c r="F35"/>
  <c r="J26"/>
  <c r="L26" s="1"/>
  <c r="F34"/>
  <c r="J34" s="1"/>
  <c r="J25"/>
  <c r="L25" s="1"/>
  <c r="J6" i="16"/>
  <c r="D33" i="15" s="1"/>
  <c r="H23" i="16"/>
  <c r="H24" s="1"/>
  <c r="F33" i="15"/>
  <c r="F39" s="1"/>
  <c r="F30"/>
  <c r="C33"/>
  <c r="C39" s="1"/>
  <c r="C30"/>
  <c r="J24"/>
  <c r="L24" s="1"/>
  <c r="J35" l="1"/>
  <c r="J30"/>
  <c r="K21"/>
  <c r="T14"/>
  <c r="L6" i="16"/>
  <c r="L23" s="1"/>
  <c r="J23"/>
  <c r="L30" i="15"/>
  <c r="J33"/>
  <c r="D39"/>
  <c r="T21" l="1"/>
  <c r="V14"/>
  <c r="V21" s="1"/>
  <c r="J39"/>
  <c r="K33" s="1"/>
  <c r="D40" l="1"/>
  <c r="F40"/>
  <c r="H40"/>
  <c r="J40"/>
  <c r="E40"/>
  <c r="G40"/>
  <c r="I40"/>
  <c r="C40"/>
  <c r="K35"/>
  <c r="K39"/>
  <c r="K38"/>
  <c r="K37"/>
  <c r="K34"/>
  <c r="K36"/>
  <c r="O50" l="1"/>
</calcChain>
</file>

<file path=xl/comments1.xml><?xml version="1.0" encoding="utf-8"?>
<comments xmlns="http://schemas.openxmlformats.org/spreadsheetml/2006/main">
  <authors>
    <author>J</author>
  </authors>
  <commentList>
    <comment ref="A3" authorId="0">
      <text>
        <r>
          <rPr>
            <b/>
            <sz val="8"/>
            <color indexed="81"/>
            <rFont val="Tahoma"/>
            <charset val="1"/>
          </rPr>
          <t>J:</t>
        </r>
        <r>
          <rPr>
            <sz val="8"/>
            <color indexed="81"/>
            <rFont val="Tahoma"/>
            <charset val="1"/>
          </rPr>
          <t xml:space="preserve">
This row is for display purposes, change values on coefficients tab instead.</t>
        </r>
      </text>
    </comment>
    <comment ref="S13" authorId="0">
      <text>
        <r>
          <rPr>
            <b/>
            <sz val="8"/>
            <color indexed="81"/>
            <rFont val="Tahoma"/>
            <family val="2"/>
          </rPr>
          <t>J:</t>
        </r>
        <r>
          <rPr>
            <sz val="8"/>
            <color indexed="81"/>
            <rFont val="Tahoma"/>
            <family val="2"/>
          </rPr>
          <t xml:space="preserve">
Estimates from MEP</t>
        </r>
      </text>
    </comment>
  </commentList>
</comments>
</file>

<file path=xl/comments2.xml><?xml version="1.0" encoding="utf-8"?>
<comments xmlns="http://schemas.openxmlformats.org/spreadsheetml/2006/main">
  <authors>
    <author>J</author>
  </authors>
  <commentList>
    <comment ref="D3" authorId="0">
      <text>
        <r>
          <rPr>
            <b/>
            <sz val="8"/>
            <color indexed="81"/>
            <rFont val="Tahoma"/>
            <family val="2"/>
          </rPr>
          <t>J:</t>
        </r>
        <r>
          <rPr>
            <sz val="8"/>
            <color indexed="81"/>
            <rFont val="Tahoma"/>
            <family val="2"/>
          </rPr>
          <t xml:space="preserve">
DON'T CHANGE RATES ON THIS PAGE, USE MAIN PAGE</t>
        </r>
      </text>
    </comment>
  </commentList>
</comments>
</file>

<file path=xl/sharedStrings.xml><?xml version="1.0" encoding="utf-8"?>
<sst xmlns="http://schemas.openxmlformats.org/spreadsheetml/2006/main" count="202" uniqueCount="138">
  <si>
    <t>kg/ha=</t>
  </si>
  <si>
    <t>SUB ID</t>
  </si>
  <si>
    <t>NET N Trans</t>
  </si>
  <si>
    <t>Grand Total</t>
  </si>
  <si>
    <t>unatten lbs loading</t>
  </si>
  <si>
    <t>lbs/acre=</t>
  </si>
  <si>
    <t>pasture acres</t>
  </si>
  <si>
    <t>estuary acres</t>
  </si>
  <si>
    <t>freshwater acres</t>
  </si>
  <si>
    <t>cranberry acres</t>
  </si>
  <si>
    <t>animal units</t>
  </si>
  <si>
    <t>New Bedford Reservoir</t>
  </si>
  <si>
    <t>Upper Acushnet River</t>
  </si>
  <si>
    <t>Middle Acushnet River</t>
  </si>
  <si>
    <t>Lower Acushnet River</t>
  </si>
  <si>
    <t>Inner New Bedford Harbor</t>
  </si>
  <si>
    <t>Outer New Bedford Harbor</t>
  </si>
  <si>
    <t>Land+ Estuary Acres</t>
  </si>
  <si>
    <t>Land (inc FW) Acres</t>
  </si>
  <si>
    <t>Sum of septic units</t>
  </si>
  <si>
    <t>road acres</t>
  </si>
  <si>
    <t>non-road imperv</t>
  </si>
  <si>
    <t>non-road imprv parking</t>
  </si>
  <si>
    <t>non-road imprv roof</t>
  </si>
  <si>
    <t>natural landscp  acres</t>
  </si>
  <si>
    <t>No. of Buildings (for lawns)</t>
  </si>
  <si>
    <t>lawn size (sq dt)</t>
  </si>
  <si>
    <t>total runoff</t>
  </si>
  <si>
    <t>CSO loss term</t>
  </si>
  <si>
    <t>net runoff load</t>
  </si>
  <si>
    <t>Subwatershed Loading (values in lbs unless specified)</t>
  </si>
  <si>
    <t>Subwatershed Lanuse (values in acres unless specified)</t>
  </si>
  <si>
    <t>road runoff</t>
  </si>
  <si>
    <t>precip to estuary load</t>
  </si>
  <si>
    <t>roof runoff</t>
  </si>
  <si>
    <t xml:space="preserve">parking runoff </t>
  </si>
  <si>
    <t>Grand Total (lbs)</t>
  </si>
  <si>
    <t>cropland+ orchard acres</t>
  </si>
  <si>
    <t>precip to FW load</t>
  </si>
  <si>
    <t>lawn fertilizer</t>
  </si>
  <si>
    <t>septic systems</t>
  </si>
  <si>
    <t>fairhaven wwtf</t>
  </si>
  <si>
    <t>precip on natural surface</t>
  </si>
  <si>
    <t>precip runoff</t>
  </si>
  <si>
    <t>CSO discharges</t>
  </si>
  <si>
    <t>lawns</t>
  </si>
  <si>
    <t>golf courses</t>
  </si>
  <si>
    <t>pasture load</t>
  </si>
  <si>
    <t>cropland+ orchard load</t>
  </si>
  <si>
    <t>cranberry load</t>
  </si>
  <si>
    <t>natural land scapes</t>
  </si>
  <si>
    <t>farm animals</t>
  </si>
  <si>
    <t>atten lbs loading</t>
  </si>
  <si>
    <t>Fairhaven WWTF</t>
  </si>
  <si>
    <t>CSOs and WWTF</t>
  </si>
  <si>
    <t>golf and agricult. fertilizer</t>
  </si>
  <si>
    <t>unatten total</t>
  </si>
  <si>
    <t>attenuated total</t>
  </si>
  <si>
    <t>% of total</t>
  </si>
  <si>
    <t>percent of total</t>
  </si>
  <si>
    <t>NAME</t>
  </si>
  <si>
    <t>TOWN_ID</t>
  </si>
  <si>
    <t>TOTALS</t>
  </si>
  <si>
    <t>PARCEL AC, ROOF FRACTION</t>
  </si>
  <si>
    <t>non-road imprv roof ACRES</t>
  </si>
  <si>
    <t>non-road imprv parking ACRES</t>
  </si>
  <si>
    <t>ATTEN LBS N IMPERV TOTAL</t>
  </si>
  <si>
    <t>CSO_LOSS, New Bedford Only</t>
  </si>
  <si>
    <t>Road Acres</t>
  </si>
  <si>
    <t>Parcel Acres</t>
  </si>
  <si>
    <t>Acushnet</t>
  </si>
  <si>
    <t>Rochester</t>
  </si>
  <si>
    <t>New Bedford</t>
  </si>
  <si>
    <t>Fairhaven</t>
  </si>
  <si>
    <t>Dartmouth</t>
  </si>
  <si>
    <t>Freetown</t>
  </si>
  <si>
    <t>Lakeville</t>
  </si>
  <si>
    <t>Shed Id</t>
  </si>
  <si>
    <t>N TRANS</t>
  </si>
  <si>
    <t>Unatten lbs N imperv total</t>
  </si>
  <si>
    <t>Unatten lbs N imperv adjusted</t>
  </si>
  <si>
    <t>MEP Loading Coeeficient</t>
  </si>
  <si>
    <t>The BBNEP has adopted the MEP loading rates in this table.</t>
  </si>
  <si>
    <t>Category</t>
  </si>
  <si>
    <t>MassGIS land Use #</t>
  </si>
  <si>
    <t>(kg/ha unless spec.)</t>
  </si>
  <si>
    <t>(lb/ac unless spec.)</t>
  </si>
  <si>
    <t>comments</t>
  </si>
  <si>
    <t>cranberry bogs</t>
  </si>
  <si>
    <t>21 or 23</t>
  </si>
  <si>
    <t>cropland, various (except Pasture)</t>
  </si>
  <si>
    <t>Pasture</t>
  </si>
  <si>
    <t>Nurseries</t>
  </si>
  <si>
    <t>inc in 21, or 36</t>
  </si>
  <si>
    <t>mep</t>
  </si>
  <si>
    <t>Residential fertilized lawns, per 5,000 sq, ft lawn</t>
  </si>
  <si>
    <t>use parcel data</t>
  </si>
  <si>
    <t>na</t>
  </si>
  <si>
    <t>Golf Courses</t>
  </si>
  <si>
    <t>MEP uses different rates for greens, fairways, and roughs, and this value is the average rate for several course, but fertilizer rates can vary slightly from course to course.</t>
  </si>
  <si>
    <t>Spectator Recreation</t>
  </si>
  <si>
    <t>MEP assumes 3.0 lbs per 1000 sq. ft and 20% leaching.  Includes Playing fields, parks, school fields, etc.</t>
  </si>
  <si>
    <t>Impervious, road run off</t>
  </si>
  <si>
    <t>18, and sewered 16 and roads</t>
  </si>
  <si>
    <t>Impervious, roof run off</t>
  </si>
  <si>
    <t>Same assumption as for roads, except nitrogen concentration assumed to be 0.75</t>
  </si>
  <si>
    <t>Deposition on embayments (SW) and FW ponds</t>
  </si>
  <si>
    <t>The BBNEP ignored atmospheric deposition on freshwater ponds, presuming that little reached coastal waters, thus the original BBNEP value is for embayment deposition only.  The MEP uses an atmospheric N concentration of 1.09 for both and only 90% of annual precipitation to calculate loading.</t>
  </si>
  <si>
    <t>Natural Landscapes</t>
  </si>
  <si>
    <t>3,4</t>
  </si>
  <si>
    <t xml:space="preserve">Originally the BBNEP ignored this contribution, then in the mid 1990s we adopted the values shown. The BBNEP also assumed no contributions from wetlands.  The MEP estimate is for all natural landscapes (whether wetlands or uplands) assumes 27.25 in. annual recharge at a N concentrentartion of  0.072 ppm, the presumed GW background  N concentration. </t>
  </si>
  <si>
    <t xml:space="preserve">Notes: 1) Annual precipitation decreases by several inches moving west to east across the Buzzards Bay watershed. </t>
  </si>
  <si>
    <t xml:space="preserve">           2) watershed annual precipitation in inches  (from draft MEP report; 90% used)= </t>
  </si>
  <si>
    <t>MEP assumes impervious recharge is 90% of annual precipitation (annual rainfall is watershed specific, see note 2 for MEPvalue) x1.5 ppm N.  This rate also applies to driveways and parking areas.</t>
  </si>
  <si>
    <t>MEP assumes 4.46 lb/ac N application and 100% leaching</t>
  </si>
  <si>
    <t>Nurseries use fertilizer, and potentially this value may be too low.  However, nurseries occupy neglible amounts of land area in any watershed, so the relevance of this coefficient is negligible.</t>
  </si>
  <si>
    <t>The original BBNEP loading rate was 3 lbs per lawn effective leaching rate based on assumptions from the early 1990s. Based on interviews on Cape Cod and other studies, the MEP concluded only 5.40 lbs of N were applied on average annually to each 5000 sq ft lawn with 20% leaching to groundwater.</t>
  </si>
  <si>
    <t>MEP assumes 30.33 lb/ac (34 kg/ha) application and 30% leaching.  This value may be too low for some types of crops like corn.  We include orchards in this category.</t>
  </si>
  <si>
    <t>Wastewater load per unit</t>
  </si>
  <si>
    <t>3) Residential  wastewater use + 5000 sq foot lawn + runoff from a 1500 ft2 roof and 1500 ft2 driveway=</t>
  </si>
  <si>
    <t>3) residential wateruse (average annual GPD)=</t>
  </si>
  <si>
    <t>The MEP multiples average annual water (less 10% for non-wastewater use), times an assumed groundwater discharge concentration of 26.25 ppm</t>
  </si>
  <si>
    <t>Residential lawn fertilizer per acre, effective rate based on use</t>
  </si>
  <si>
    <t>per unit=</t>
  </si>
  <si>
    <t>Avergae water use</t>
  </si>
  <si>
    <t>septic load</t>
  </si>
  <si>
    <t>CSO fraction</t>
  </si>
  <si>
    <t>Prepared by Dr. Joe Costa, Buzzards Bay NEP.   Please  report errors to jcosta@buzzardsbay.org</t>
  </si>
  <si>
    <t xml:space="preserve">The MEP assumptions result in a loading rate of  9.41 lbs/ac (10.5 Kg/ha),which incorporates an assumption only 1/2 of all lawns are fertilized, hence the lower rate.  The original BBNEP method conservatively assumed all lawns were fertilized with a higher application rate. </t>
  </si>
  <si>
    <t>MEP assumes 31 lb/ac application and 66% leaching.  This value is porportedly expected to change in 2011.</t>
  </si>
  <si>
    <t xml:space="preserve">Prepared by Dr. Joe Costa, Buzzards Bay NEP.   Please  report errors to:  </t>
  </si>
  <si>
    <t>jcosta@buzzardsbay.org</t>
  </si>
  <si>
    <t>last revision: 10/14/2011</t>
  </si>
  <si>
    <t xml:space="preserve">see explanations at: </t>
  </si>
  <si>
    <t>Change Log</t>
  </si>
  <si>
    <t>first posting on webpage above</t>
  </si>
  <si>
    <t>Corrected the incorrect assumption that lawn fertilization rates were halved by the MEP</t>
  </si>
  <si>
    <t>http://www.buzzardsbay.org/new-bedford-harbor-subwatershed.htm</t>
  </si>
</sst>
</file>

<file path=xl/styles.xml><?xml version="1.0" encoding="utf-8"?>
<styleSheet xmlns="http://schemas.openxmlformats.org/spreadsheetml/2006/main">
  <numFmts count="5">
    <numFmt numFmtId="164" formatCode="0.0"/>
    <numFmt numFmtId="165" formatCode="0.0000"/>
    <numFmt numFmtId="166" formatCode="0.0%"/>
    <numFmt numFmtId="167" formatCode="#,##0.0"/>
    <numFmt numFmtId="168" formatCode="0.000"/>
  </numFmts>
  <fonts count="15">
    <font>
      <sz val="10"/>
      <name val="Arial"/>
    </font>
    <font>
      <sz val="10"/>
      <name val="Arial"/>
      <family val="2"/>
    </font>
    <font>
      <sz val="8"/>
      <name val="Arial"/>
      <family val="2"/>
    </font>
    <font>
      <b/>
      <sz val="10"/>
      <name val="Arial"/>
      <family val="2"/>
    </font>
    <font>
      <sz val="8"/>
      <color indexed="81"/>
      <name val="Tahoma"/>
      <family val="2"/>
    </font>
    <font>
      <b/>
      <sz val="8"/>
      <color indexed="81"/>
      <name val="Tahoma"/>
      <family val="2"/>
    </font>
    <font>
      <sz val="10"/>
      <name val="Arial"/>
      <family val="2"/>
    </font>
    <font>
      <sz val="10"/>
      <color rgb="FF0070C0"/>
      <name val="Arial"/>
      <family val="2"/>
    </font>
    <font>
      <b/>
      <sz val="10"/>
      <color rgb="FF0070C0"/>
      <name val="Arial"/>
      <family val="2"/>
    </font>
    <font>
      <b/>
      <sz val="10"/>
      <color theme="3"/>
      <name val="Arial"/>
      <family val="2"/>
    </font>
    <font>
      <sz val="10"/>
      <color theme="3"/>
      <name val="Arial"/>
      <family val="2"/>
    </font>
    <font>
      <sz val="11"/>
      <name val="Calibri"/>
      <family val="2"/>
    </font>
    <font>
      <sz val="8"/>
      <color indexed="81"/>
      <name val="Tahoma"/>
      <charset val="1"/>
    </font>
    <font>
      <b/>
      <sz val="8"/>
      <color indexed="81"/>
      <name val="Tahoma"/>
      <charset val="1"/>
    </font>
    <font>
      <u/>
      <sz val="10"/>
      <color theme="10"/>
      <name val="Arial"/>
      <family val="2"/>
    </font>
  </fonts>
  <fills count="3">
    <fill>
      <patternFill patternType="none"/>
    </fill>
    <fill>
      <patternFill patternType="gray125"/>
    </fill>
    <fill>
      <patternFill patternType="solid">
        <fgColor indexed="2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100">
    <xf numFmtId="0" fontId="0" fillId="0" borderId="0" xfId="0"/>
    <xf numFmtId="1" fontId="0" fillId="0" borderId="0" xfId="0" applyNumberFormat="1"/>
    <xf numFmtId="164" fontId="0" fillId="0" borderId="0" xfId="0" applyNumberFormat="1"/>
    <xf numFmtId="165" fontId="0" fillId="0" borderId="0" xfId="0" applyNumberFormat="1"/>
    <xf numFmtId="0" fontId="0" fillId="0" borderId="0" xfId="0" applyNumberFormat="1"/>
    <xf numFmtId="0" fontId="0" fillId="0" borderId="0" xfId="0" applyAlignment="1">
      <alignment horizontal="right"/>
    </xf>
    <xf numFmtId="3" fontId="0" fillId="0" borderId="0" xfId="0" applyNumberFormat="1"/>
    <xf numFmtId="3" fontId="1" fillId="0" borderId="0" xfId="0" applyNumberFormat="1" applyFont="1"/>
    <xf numFmtId="167" fontId="0" fillId="0" borderId="0" xfId="0" applyNumberFormat="1"/>
    <xf numFmtId="10" fontId="0" fillId="0" borderId="0" xfId="0" applyNumberFormat="1"/>
    <xf numFmtId="3" fontId="3" fillId="0" borderId="0" xfId="0" applyNumberFormat="1" applyFont="1" applyAlignment="1">
      <alignment horizontal="right"/>
    </xf>
    <xf numFmtId="3" fontId="3" fillId="0" borderId="0" xfId="0" applyNumberFormat="1" applyFont="1" applyAlignment="1">
      <alignment horizontal="right" wrapText="1"/>
    </xf>
    <xf numFmtId="10" fontId="3" fillId="0" borderId="0" xfId="0" applyNumberFormat="1" applyFont="1" applyAlignment="1">
      <alignment horizontal="right" wrapText="1"/>
    </xf>
    <xf numFmtId="3" fontId="3" fillId="0" borderId="0" xfId="0" applyNumberFormat="1" applyFont="1"/>
    <xf numFmtId="167" fontId="3" fillId="0" borderId="0" xfId="0" applyNumberFormat="1" applyFont="1"/>
    <xf numFmtId="0" fontId="3" fillId="0" borderId="0" xfId="0" applyFont="1"/>
    <xf numFmtId="0" fontId="3" fillId="0" borderId="0" xfId="0" applyFont="1" applyAlignment="1">
      <alignment horizontal="right"/>
    </xf>
    <xf numFmtId="1" fontId="3" fillId="0" borderId="0" xfId="0" applyNumberFormat="1" applyFont="1" applyAlignment="1">
      <alignment wrapText="1"/>
    </xf>
    <xf numFmtId="1" fontId="3" fillId="0" borderId="0" xfId="0" applyNumberFormat="1" applyFont="1" applyAlignment="1">
      <alignment horizontal="right" wrapText="1"/>
    </xf>
    <xf numFmtId="167" fontId="3" fillId="0" borderId="0" xfId="0" applyNumberFormat="1" applyFont="1" applyAlignment="1">
      <alignment horizontal="right" wrapText="1"/>
    </xf>
    <xf numFmtId="0" fontId="3" fillId="0" borderId="0" xfId="0" applyFont="1" applyAlignment="1">
      <alignment wrapText="1"/>
    </xf>
    <xf numFmtId="0" fontId="3" fillId="0" borderId="0" xfId="0" applyFont="1" applyAlignment="1">
      <alignment horizontal="right" wrapText="1"/>
    </xf>
    <xf numFmtId="165" fontId="3" fillId="0" borderId="0" xfId="0" applyNumberFormat="1" applyFont="1" applyAlignment="1">
      <alignment wrapText="1"/>
    </xf>
    <xf numFmtId="0" fontId="7" fillId="0" borderId="0" xfId="0" applyFont="1"/>
    <xf numFmtId="0" fontId="8" fillId="0" borderId="0" xfId="0" applyFont="1" applyAlignment="1">
      <alignment horizontal="right"/>
    </xf>
    <xf numFmtId="167" fontId="8" fillId="0" borderId="0" xfId="0" applyNumberFormat="1" applyFont="1" applyAlignment="1">
      <alignment horizontal="right"/>
    </xf>
    <xf numFmtId="167" fontId="7" fillId="0" borderId="0" xfId="0" applyNumberFormat="1" applyFont="1"/>
    <xf numFmtId="3" fontId="7" fillId="0" borderId="0" xfId="0" applyNumberFormat="1" applyFont="1"/>
    <xf numFmtId="10" fontId="7" fillId="0" borderId="0" xfId="0" applyNumberFormat="1" applyFont="1"/>
    <xf numFmtId="4" fontId="8" fillId="0" borderId="0" xfId="0" applyNumberFormat="1" applyFont="1"/>
    <xf numFmtId="0" fontId="8" fillId="0" borderId="0" xfId="0" applyFont="1"/>
    <xf numFmtId="2" fontId="8" fillId="0" borderId="0" xfId="0" applyNumberFormat="1" applyFont="1"/>
    <xf numFmtId="167" fontId="8" fillId="0" borderId="0" xfId="0" applyNumberFormat="1" applyFont="1" applyAlignment="1">
      <alignment wrapText="1"/>
    </xf>
    <xf numFmtId="3" fontId="8" fillId="0" borderId="0" xfId="0" applyNumberFormat="1" applyFont="1"/>
    <xf numFmtId="3" fontId="8" fillId="0" borderId="0" xfId="0" applyNumberFormat="1" applyFont="1" applyAlignment="1">
      <alignment horizontal="right"/>
    </xf>
    <xf numFmtId="0" fontId="6" fillId="0" borderId="0" xfId="0" applyFont="1" applyAlignment="1">
      <alignment horizontal="right" wrapText="1"/>
    </xf>
    <xf numFmtId="3" fontId="6" fillId="0" borderId="0" xfId="0" applyNumberFormat="1" applyFont="1" applyAlignment="1">
      <alignment horizontal="right" wrapText="1"/>
    </xf>
    <xf numFmtId="2" fontId="6" fillId="0" borderId="0" xfId="0" applyNumberFormat="1" applyFont="1" applyAlignment="1">
      <alignment horizontal="right" wrapText="1"/>
    </xf>
    <xf numFmtId="164" fontId="3" fillId="0" borderId="0" xfId="0" applyNumberFormat="1" applyFont="1"/>
    <xf numFmtId="10" fontId="3" fillId="0" borderId="0" xfId="0" applyNumberFormat="1" applyFont="1"/>
    <xf numFmtId="1" fontId="3" fillId="0" borderId="0" xfId="0" applyNumberFormat="1" applyFont="1" applyAlignment="1">
      <alignment horizontal="left" wrapText="1"/>
    </xf>
    <xf numFmtId="0" fontId="6" fillId="0" borderId="0" xfId="0" applyFont="1" applyAlignment="1">
      <alignment horizontal="left" wrapText="1"/>
    </xf>
    <xf numFmtId="0" fontId="3" fillId="0" borderId="0" xfId="0" applyFont="1" applyAlignment="1">
      <alignment horizontal="left"/>
    </xf>
    <xf numFmtId="2" fontId="7" fillId="0" borderId="0" xfId="0" applyNumberFormat="1" applyFont="1"/>
    <xf numFmtId="2" fontId="8" fillId="0" borderId="0" xfId="0" applyNumberFormat="1" applyFont="1" applyAlignment="1">
      <alignment horizontal="right"/>
    </xf>
    <xf numFmtId="4" fontId="0" fillId="0" borderId="0" xfId="0" applyNumberFormat="1"/>
    <xf numFmtId="165" fontId="3" fillId="0" borderId="0" xfId="0" applyNumberFormat="1" applyFont="1" applyAlignment="1">
      <alignment horizontal="right" wrapText="1"/>
    </xf>
    <xf numFmtId="164" fontId="6" fillId="0" borderId="0" xfId="0" applyNumberFormat="1" applyFont="1"/>
    <xf numFmtId="167" fontId="6" fillId="0" borderId="0" xfId="0" applyNumberFormat="1" applyFont="1" applyAlignment="1">
      <alignment horizontal="right" wrapText="1"/>
    </xf>
    <xf numFmtId="3" fontId="0" fillId="0" borderId="0" xfId="0" applyNumberFormat="1" applyAlignment="1">
      <alignment horizontal="right"/>
    </xf>
    <xf numFmtId="0" fontId="7" fillId="0" borderId="0" xfId="0" quotePrefix="1" applyFont="1"/>
    <xf numFmtId="3" fontId="6" fillId="0" borderId="0" xfId="0" applyNumberFormat="1" applyFont="1"/>
    <xf numFmtId="166" fontId="6" fillId="0" borderId="0" xfId="0" applyNumberFormat="1" applyFont="1"/>
    <xf numFmtId="0" fontId="1" fillId="0" borderId="0" xfId="0" applyFont="1" applyAlignment="1">
      <alignment horizontal="left" wrapText="1"/>
    </xf>
    <xf numFmtId="166" fontId="0" fillId="0" borderId="0" xfId="0" applyNumberFormat="1"/>
    <xf numFmtId="1" fontId="0" fillId="0" borderId="0" xfId="0" applyNumberFormat="1" applyAlignment="1">
      <alignment horizontal="right"/>
    </xf>
    <xf numFmtId="0" fontId="0" fillId="0" borderId="0" xfId="0" applyAlignment="1"/>
    <xf numFmtId="1" fontId="0" fillId="0" borderId="0" xfId="0" applyNumberFormat="1" applyAlignment="1"/>
    <xf numFmtId="2" fontId="0" fillId="0" borderId="0" xfId="0" applyNumberFormat="1"/>
    <xf numFmtId="2" fontId="0" fillId="0" borderId="0" xfId="0" applyNumberFormat="1" applyAlignment="1">
      <alignment horizontal="right"/>
    </xf>
    <xf numFmtId="164" fontId="0" fillId="0" borderId="0" xfId="0" applyNumberFormat="1" applyAlignment="1">
      <alignment horizontal="right"/>
    </xf>
    <xf numFmtId="1" fontId="1" fillId="0" borderId="0" xfId="0" applyNumberFormat="1" applyFont="1" applyAlignment="1">
      <alignment horizontal="right" wrapText="1"/>
    </xf>
    <xf numFmtId="3" fontId="9" fillId="0" borderId="0" xfId="0" applyNumberFormat="1" applyFont="1"/>
    <xf numFmtId="168" fontId="1" fillId="0" borderId="0" xfId="0" applyNumberFormat="1" applyFont="1" applyAlignment="1">
      <alignment horizontal="right" wrapText="1"/>
    </xf>
    <xf numFmtId="1" fontId="1" fillId="0" borderId="0" xfId="0" applyNumberFormat="1" applyFont="1"/>
    <xf numFmtId="0" fontId="1" fillId="0" borderId="0" xfId="0" applyFont="1" applyAlignment="1">
      <alignment horizontal="right" wrapText="1"/>
    </xf>
    <xf numFmtId="167" fontId="10" fillId="0" borderId="0" xfId="0" applyNumberFormat="1" applyFont="1" applyAlignment="1">
      <alignment horizontal="right" wrapText="1"/>
    </xf>
    <xf numFmtId="1" fontId="1" fillId="0" borderId="0" xfId="0" applyNumberFormat="1" applyFont="1" applyAlignment="1">
      <alignment wrapText="1"/>
    </xf>
    <xf numFmtId="2" fontId="1" fillId="0" borderId="0" xfId="0" applyNumberFormat="1" applyFont="1" applyAlignment="1">
      <alignment horizontal="right" wrapText="1"/>
    </xf>
    <xf numFmtId="0" fontId="0" fillId="0" borderId="0" xfId="0" applyAlignment="1">
      <alignment horizontal="right" wrapText="1"/>
    </xf>
    <xf numFmtId="0" fontId="0" fillId="0" borderId="0" xfId="0" applyAlignment="1">
      <alignment wrapText="1"/>
    </xf>
    <xf numFmtId="0" fontId="11" fillId="0" borderId="0" xfId="0" applyFont="1" applyAlignment="1">
      <alignment horizontal="right" wrapText="1"/>
    </xf>
    <xf numFmtId="0" fontId="3" fillId="0" borderId="1" xfId="0" applyFont="1" applyBorder="1"/>
    <xf numFmtId="0" fontId="3" fillId="0" borderId="1" xfId="0" applyFont="1" applyBorder="1" applyAlignment="1">
      <alignment horizontal="right" wrapText="1"/>
    </xf>
    <xf numFmtId="0" fontId="3" fillId="0" borderId="1" xfId="0" applyFont="1" applyBorder="1" applyAlignment="1">
      <alignment horizontal="left" wrapText="1"/>
    </xf>
    <xf numFmtId="0" fontId="3" fillId="0" borderId="1" xfId="0" applyFont="1" applyBorder="1" applyAlignment="1">
      <alignment wrapText="1"/>
    </xf>
    <xf numFmtId="0" fontId="3" fillId="2" borderId="1" xfId="0" applyFont="1" applyFill="1" applyBorder="1" applyAlignment="1">
      <alignment horizontal="right" wrapText="1"/>
    </xf>
    <xf numFmtId="0" fontId="0" fillId="0" borderId="1" xfId="0" applyBorder="1" applyAlignment="1">
      <alignment horizontal="right" wrapText="1"/>
    </xf>
    <xf numFmtId="2" fontId="0" fillId="2" borderId="1" xfId="0" applyNumberFormat="1" applyFill="1" applyBorder="1" applyAlignment="1">
      <alignment horizontal="right" wrapText="1"/>
    </xf>
    <xf numFmtId="0" fontId="0" fillId="0" borderId="1" xfId="0" applyBorder="1" applyAlignment="1">
      <alignment horizontal="left" wrapText="1"/>
    </xf>
    <xf numFmtId="0" fontId="0" fillId="2" borderId="1" xfId="0" applyFill="1" applyBorder="1" applyAlignment="1">
      <alignment horizontal="right" wrapText="1"/>
    </xf>
    <xf numFmtId="0" fontId="0" fillId="0" borderId="0" xfId="0" applyAlignment="1">
      <alignment horizontal="left" wrapText="1"/>
    </xf>
    <xf numFmtId="0" fontId="3" fillId="0" borderId="4" xfId="0" applyFont="1" applyBorder="1" applyAlignment="1">
      <alignment horizontal="left" wrapText="1"/>
    </xf>
    <xf numFmtId="0" fontId="1" fillId="0" borderId="1" xfId="0" applyFont="1" applyBorder="1" applyAlignment="1">
      <alignment horizontal="left" wrapText="1"/>
    </xf>
    <xf numFmtId="0" fontId="3" fillId="0" borderId="0" xfId="0" applyFont="1" applyBorder="1" applyAlignment="1">
      <alignment horizontal="left" wrapText="1"/>
    </xf>
    <xf numFmtId="166" fontId="0" fillId="0" borderId="0" xfId="0" applyNumberFormat="1" applyAlignment="1">
      <alignment horizontal="right"/>
    </xf>
    <xf numFmtId="167" fontId="1" fillId="0" borderId="0" xfId="0" applyNumberFormat="1" applyFont="1"/>
    <xf numFmtId="0" fontId="1" fillId="0" borderId="0" xfId="0" applyFont="1"/>
    <xf numFmtId="0" fontId="3" fillId="2" borderId="1" xfId="0" applyFont="1" applyFill="1" applyBorder="1" applyAlignment="1">
      <alignment horizontal="center"/>
    </xf>
    <xf numFmtId="0" fontId="0" fillId="0" borderId="1" xfId="0" applyBorder="1" applyAlignment="1">
      <alignment wrapText="1"/>
    </xf>
    <xf numFmtId="0" fontId="1" fillId="0" borderId="2" xfId="0" applyFont="1" applyBorder="1" applyAlignment="1">
      <alignment wrapText="1"/>
    </xf>
    <xf numFmtId="0" fontId="0" fillId="0" borderId="3" xfId="0" applyBorder="1" applyAlignment="1">
      <alignment wrapText="1"/>
    </xf>
    <xf numFmtId="0" fontId="1" fillId="0" borderId="5" xfId="0" applyFont="1" applyBorder="1" applyAlignment="1">
      <alignment horizontal="right" wrapText="1"/>
    </xf>
    <xf numFmtId="0" fontId="0" fillId="0" borderId="5" xfId="0" applyBorder="1" applyAlignment="1">
      <alignment horizontal="right" wrapText="1"/>
    </xf>
    <xf numFmtId="0" fontId="1" fillId="0" borderId="3" xfId="0" applyFont="1" applyBorder="1" applyAlignment="1">
      <alignment wrapText="1"/>
    </xf>
    <xf numFmtId="0" fontId="0" fillId="0" borderId="0" xfId="0"/>
    <xf numFmtId="0" fontId="7" fillId="0" borderId="0" xfId="0" applyFont="1"/>
    <xf numFmtId="0" fontId="1" fillId="0" borderId="0" xfId="0" applyFont="1"/>
    <xf numFmtId="0" fontId="14" fillId="0" borderId="0" xfId="1" applyAlignment="1" applyProtection="1"/>
    <xf numFmtId="1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aseline="0"/>
              <a:t>Attenuated Nitrogen Sources</a:t>
            </a:r>
          </a:p>
          <a:p>
            <a:pPr>
              <a:defRPr/>
            </a:pPr>
            <a:r>
              <a:rPr lang="en-US" sz="1200" baseline="0"/>
              <a:t> to the Acushnet River circa 2006</a:t>
            </a:r>
          </a:p>
        </c:rich>
      </c:tx>
      <c:layout>
        <c:manualLayout>
          <c:xMode val="edge"/>
          <c:yMode val="edge"/>
          <c:x val="0.58095144356955464"/>
          <c:y val="2.3148148148148147E-2"/>
        </c:manualLayout>
      </c:layout>
    </c:title>
    <c:plotArea>
      <c:layout>
        <c:manualLayout>
          <c:layoutTarget val="inner"/>
          <c:xMode val="edge"/>
          <c:yMode val="edge"/>
          <c:x val="4.5886045494313223E-2"/>
          <c:y val="0.21021398366870844"/>
          <c:w val="0.44302099737532907"/>
          <c:h val="0.7383683289588806"/>
        </c:manualLayout>
      </c:layout>
      <c:pieChart>
        <c:varyColors val="1"/>
        <c:ser>
          <c:idx val="0"/>
          <c:order val="0"/>
          <c:tx>
            <c:strRef>
              <c:f>summary_loads!$C$32:$I$32</c:f>
              <c:strCache>
                <c:ptCount val="1"/>
                <c:pt idx="0">
                  <c:v>precip on natural surface precip runoff CSO discharges golf and agricult. fertilizer lawn fertilizer septic systems fairhaven wwtf</c:v>
                </c:pt>
              </c:strCache>
            </c:strRef>
          </c:tx>
          <c:dLbls>
            <c:dLbl>
              <c:idx val="1"/>
              <c:layout>
                <c:manualLayout>
                  <c:x val="6.9372265966754264E-3"/>
                  <c:y val="5.1903251676873707E-2"/>
                </c:manualLayout>
              </c:layout>
              <c:showCatName val="1"/>
              <c:showPercent val="1"/>
            </c:dLbl>
            <c:dLbl>
              <c:idx val="2"/>
              <c:layout>
                <c:manualLayout>
                  <c:x val="8.4053149606299268E-2"/>
                  <c:y val="-2.7673155438903602E-2"/>
                </c:manualLayout>
              </c:layout>
              <c:showCatName val="1"/>
              <c:showPercent val="1"/>
            </c:dLbl>
            <c:dLbl>
              <c:idx val="3"/>
              <c:layout>
                <c:manualLayout>
                  <c:x val="0.17630293088363971"/>
                  <c:y val="-1.4717483231262781E-2"/>
                </c:manualLayout>
              </c:layout>
              <c:showCatName val="1"/>
              <c:showPercent val="1"/>
            </c:dLbl>
            <c:dLbl>
              <c:idx val="4"/>
              <c:layout>
                <c:manualLayout>
                  <c:x val="3.8005905511811121E-2"/>
                  <c:y val="0.10368802857976087"/>
                </c:manualLayout>
              </c:layout>
              <c:showCatName val="1"/>
              <c:showPercent val="1"/>
            </c:dLbl>
            <c:numFmt formatCode="0.0%" sourceLinked="0"/>
            <c:showCatName val="1"/>
            <c:showPercent val="1"/>
            <c:showLeaderLines val="1"/>
          </c:dLbls>
          <c:cat>
            <c:strRef>
              <c:f>summary_loads!$C$32:$I$32</c:f>
              <c:strCache>
                <c:ptCount val="7"/>
                <c:pt idx="0">
                  <c:v>precip on natural surface</c:v>
                </c:pt>
                <c:pt idx="1">
                  <c:v>precip runoff</c:v>
                </c:pt>
                <c:pt idx="2">
                  <c:v>CSO discharges</c:v>
                </c:pt>
                <c:pt idx="3">
                  <c:v>golf and agricult. fertilizer</c:v>
                </c:pt>
                <c:pt idx="4">
                  <c:v>lawn fertilizer</c:v>
                </c:pt>
                <c:pt idx="5">
                  <c:v>septic systems</c:v>
                </c:pt>
                <c:pt idx="6">
                  <c:v>fairhaven wwtf</c:v>
                </c:pt>
              </c:strCache>
            </c:strRef>
          </c:cat>
          <c:val>
            <c:numRef>
              <c:f>summary_loads!$C$39:$I$39</c:f>
              <c:numCache>
                <c:formatCode>#,##0</c:formatCode>
                <c:ptCount val="7"/>
                <c:pt idx="0">
                  <c:v>16690.163739333882</c:v>
                </c:pt>
                <c:pt idx="1">
                  <c:v>16893.172274</c:v>
                </c:pt>
                <c:pt idx="2">
                  <c:v>21392.905600000006</c:v>
                </c:pt>
                <c:pt idx="3">
                  <c:v>8927.7612759999993</c:v>
                </c:pt>
                <c:pt idx="4">
                  <c:v>12631.456037649219</c:v>
                </c:pt>
                <c:pt idx="5">
                  <c:v>34190.498889691458</c:v>
                </c:pt>
                <c:pt idx="6">
                  <c:v>93148</c:v>
                </c:pt>
              </c:numCache>
            </c:numRef>
          </c:val>
        </c:ser>
        <c:firstSliceAng val="0"/>
      </c:pieChart>
    </c:plotArea>
    <c:plotVisOnly val="1"/>
  </c:chart>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septic load percent of total load</a:t>
            </a:r>
          </a:p>
        </c:rich>
      </c:tx>
    </c:title>
    <c:plotArea>
      <c:layout/>
      <c:scatterChart>
        <c:scatterStyle val="lineMarker"/>
        <c:ser>
          <c:idx val="0"/>
          <c:order val="0"/>
          <c:tx>
            <c:strRef>
              <c:f>summary_loads!$B$44</c:f>
              <c:strCache>
                <c:ptCount val="1"/>
                <c:pt idx="0">
                  <c:v>septic load</c:v>
                </c:pt>
              </c:strCache>
            </c:strRef>
          </c:tx>
          <c:spPr>
            <a:ln w="28575">
              <a:noFill/>
            </a:ln>
          </c:spPr>
          <c:trendline>
            <c:trendlineType val="linear"/>
          </c:trendline>
          <c:xVal>
            <c:numRef>
              <c:f>summary_loads!$A$45:$A$48</c:f>
              <c:numCache>
                <c:formatCode>General</c:formatCode>
                <c:ptCount val="4"/>
                <c:pt idx="0">
                  <c:v>166.7</c:v>
                </c:pt>
                <c:pt idx="1">
                  <c:v>134.4</c:v>
                </c:pt>
                <c:pt idx="2">
                  <c:v>142</c:v>
                </c:pt>
                <c:pt idx="3">
                  <c:v>191.4</c:v>
                </c:pt>
              </c:numCache>
            </c:numRef>
          </c:xVal>
          <c:yVal>
            <c:numRef>
              <c:f>summary_loads!$B$45:$B$48</c:f>
              <c:numCache>
                <c:formatCode>0.0%</c:formatCode>
                <c:ptCount val="4"/>
                <c:pt idx="0">
                  <c:v>0.17302812364469913</c:v>
                </c:pt>
                <c:pt idx="1">
                  <c:v>0.144341181925326</c:v>
                </c:pt>
                <c:pt idx="2">
                  <c:v>0.15126865461895123</c:v>
                </c:pt>
                <c:pt idx="3">
                  <c:v>0.19369975926785082</c:v>
                </c:pt>
              </c:numCache>
            </c:numRef>
          </c:yVal>
        </c:ser>
        <c:axId val="104760832"/>
        <c:axId val="104762752"/>
      </c:scatterChart>
      <c:valAx>
        <c:axId val="104760832"/>
        <c:scaling>
          <c:orientation val="minMax"/>
          <c:min val="120"/>
        </c:scaling>
        <c:axPos val="b"/>
        <c:title>
          <c:tx>
            <c:rich>
              <a:bodyPr/>
              <a:lstStyle/>
              <a:p>
                <a:pPr>
                  <a:defRPr sz="1600" baseline="0"/>
                </a:pPr>
                <a:r>
                  <a:rPr lang="en-US" sz="1600" baseline="0"/>
                  <a:t>avg water use, GPD</a:t>
                </a:r>
              </a:p>
            </c:rich>
          </c:tx>
        </c:title>
        <c:numFmt formatCode="General" sourceLinked="1"/>
        <c:majorTickMark val="in"/>
        <c:tickLblPos val="nextTo"/>
        <c:txPr>
          <a:bodyPr/>
          <a:lstStyle/>
          <a:p>
            <a:pPr>
              <a:defRPr sz="1200" b="1" i="0" baseline="0"/>
            </a:pPr>
            <a:endParaRPr lang="en-US"/>
          </a:p>
        </c:txPr>
        <c:crossAx val="104762752"/>
        <c:crossesAt val="0.14000000000000001"/>
        <c:crossBetween val="midCat"/>
      </c:valAx>
      <c:valAx>
        <c:axId val="104762752"/>
        <c:scaling>
          <c:orientation val="minMax"/>
          <c:min val="0.14000000000000001"/>
        </c:scaling>
        <c:axPos val="l"/>
        <c:majorGridlines/>
        <c:numFmt formatCode="0%" sourceLinked="0"/>
        <c:majorTickMark val="none"/>
        <c:tickLblPos val="nextTo"/>
        <c:txPr>
          <a:bodyPr/>
          <a:lstStyle/>
          <a:p>
            <a:pPr>
              <a:defRPr sz="1200" b="1" i="0" baseline="0"/>
            </a:pPr>
            <a:endParaRPr lang="en-US"/>
          </a:p>
        </c:txPr>
        <c:crossAx val="104760832"/>
        <c:crossesAt val="120"/>
        <c:crossBetween val="midCat"/>
      </c:valAx>
    </c:plotArea>
    <c:plotVisOnly val="1"/>
  </c:chart>
  <c:printSettings>
    <c:headerFooter/>
    <c:pageMargins b="0.75000000000000089" l="0.70000000000000062" r="0.70000000000000062" t="0.750000000000000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Stormwater Runoff, % total N load</a:t>
            </a:r>
          </a:p>
        </c:rich>
      </c:tx>
    </c:title>
    <c:plotArea>
      <c:layout/>
      <c:scatterChart>
        <c:scatterStyle val="lineMarker"/>
        <c:ser>
          <c:idx val="0"/>
          <c:order val="0"/>
          <c:tx>
            <c:strRef>
              <c:f>summary_loads!$N$44</c:f>
              <c:strCache>
                <c:ptCount val="1"/>
                <c:pt idx="0">
                  <c:v>CSO fraction</c:v>
                </c:pt>
              </c:strCache>
            </c:strRef>
          </c:tx>
          <c:spPr>
            <a:ln w="28575">
              <a:noFill/>
            </a:ln>
          </c:spPr>
          <c:trendline>
            <c:trendlineType val="linear"/>
          </c:trendline>
          <c:xVal>
            <c:numRef>
              <c:f>summary_loads!$N$45:$N$49</c:f>
              <c:numCache>
                <c:formatCode>#,##0.00</c:formatCode>
                <c:ptCount val="5"/>
                <c:pt idx="0">
                  <c:v>0.85</c:v>
                </c:pt>
                <c:pt idx="1">
                  <c:v>0.7</c:v>
                </c:pt>
                <c:pt idx="2">
                  <c:v>0.95</c:v>
                </c:pt>
                <c:pt idx="3">
                  <c:v>0.8</c:v>
                </c:pt>
                <c:pt idx="4">
                  <c:v>0.99</c:v>
                </c:pt>
              </c:numCache>
            </c:numRef>
          </c:xVal>
          <c:yVal>
            <c:numRef>
              <c:f>summary_loads!$O$45:$O$49</c:f>
              <c:numCache>
                <c:formatCode>0.0%</c:formatCode>
                <c:ptCount val="5"/>
                <c:pt idx="0">
                  <c:v>9.2470286883225103E-2</c:v>
                </c:pt>
                <c:pt idx="1">
                  <c:v>0.11272188477882591</c:v>
                </c:pt>
                <c:pt idx="2">
                  <c:v>7.8447696239348538E-2</c:v>
                </c:pt>
                <c:pt idx="3">
                  <c:v>9.9322761865425727E-2</c:v>
                </c:pt>
                <c:pt idx="4">
                  <c:v>7.2716571077629258E-2</c:v>
                </c:pt>
              </c:numCache>
            </c:numRef>
          </c:yVal>
        </c:ser>
        <c:axId val="104402304"/>
        <c:axId val="104416768"/>
      </c:scatterChart>
      <c:valAx>
        <c:axId val="104402304"/>
        <c:scaling>
          <c:orientation val="minMax"/>
          <c:max val="1"/>
          <c:min val="0.65000000000000102"/>
        </c:scaling>
        <c:axPos val="b"/>
        <c:title>
          <c:tx>
            <c:rich>
              <a:bodyPr/>
              <a:lstStyle/>
              <a:p>
                <a:pPr>
                  <a:defRPr sz="1600" baseline="0"/>
                </a:pPr>
                <a:r>
                  <a:rPr lang="en-US" sz="1400" baseline="0"/>
                  <a:t>Stormwater fraction captured by CSO system </a:t>
                </a:r>
              </a:p>
            </c:rich>
          </c:tx>
        </c:title>
        <c:numFmt formatCode="#,##0.00" sourceLinked="1"/>
        <c:majorTickMark val="in"/>
        <c:tickLblPos val="nextTo"/>
        <c:txPr>
          <a:bodyPr/>
          <a:lstStyle/>
          <a:p>
            <a:pPr>
              <a:defRPr sz="1200" b="1" i="0" baseline="0"/>
            </a:pPr>
            <a:endParaRPr lang="en-US"/>
          </a:p>
        </c:txPr>
        <c:crossAx val="104416768"/>
        <c:crossesAt val="7.0000000000000021E-2"/>
        <c:crossBetween val="midCat"/>
      </c:valAx>
      <c:valAx>
        <c:axId val="104416768"/>
        <c:scaling>
          <c:orientation val="minMax"/>
          <c:max val="0.12000000000000002"/>
          <c:min val="7.0000000000000021E-2"/>
        </c:scaling>
        <c:axPos val="l"/>
        <c:majorGridlines/>
        <c:numFmt formatCode="0%" sourceLinked="0"/>
        <c:majorTickMark val="none"/>
        <c:tickLblPos val="nextTo"/>
        <c:txPr>
          <a:bodyPr/>
          <a:lstStyle/>
          <a:p>
            <a:pPr>
              <a:defRPr sz="1200" b="1" i="0" baseline="0"/>
            </a:pPr>
            <a:endParaRPr lang="en-US"/>
          </a:p>
        </c:txPr>
        <c:crossAx val="104402304"/>
        <c:crossesAt val="0.65000000000000102"/>
        <c:crossBetween val="midCat"/>
      </c:valAx>
    </c:plotArea>
    <c:plotVisOnly val="1"/>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152400</xdr:colOff>
      <xdr:row>22</xdr:row>
      <xdr:rowOff>9525</xdr:rowOff>
    </xdr:from>
    <xdr:to>
      <xdr:col>18</xdr:col>
      <xdr:colOff>476250</xdr:colOff>
      <xdr:row>31</xdr:row>
      <xdr:rowOff>285750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438150</xdr:colOff>
      <xdr:row>41</xdr:row>
      <xdr:rowOff>200025</xdr:rowOff>
    </xdr:from>
    <xdr:to>
      <xdr:col>11</xdr:col>
      <xdr:colOff>161925</xdr:colOff>
      <xdr:row>53</xdr:row>
      <xdr:rowOff>200025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42</xdr:row>
      <xdr:rowOff>0</xdr:rowOff>
    </xdr:from>
    <xdr:to>
      <xdr:col>23</xdr:col>
      <xdr:colOff>171450</xdr:colOff>
      <xdr:row>54</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mailto:jcosta@buzzardsbay.org" TargetMode="External"/><Relationship Id="rId1" Type="http://schemas.openxmlformats.org/officeDocument/2006/relationships/hyperlink" Target="http://www.buzzardsbay.org/new-bedford-harbor-subwatershed.htm" TargetMode="External"/></Relationships>
</file>

<file path=xl/worksheets/sheet1.xml><?xml version="1.0" encoding="utf-8"?>
<worksheet xmlns="http://schemas.openxmlformats.org/spreadsheetml/2006/main" xmlns:r="http://schemas.openxmlformats.org/officeDocument/2006/relationships">
  <dimension ref="A1:AC52"/>
  <sheetViews>
    <sheetView topLeftCell="A4" workbookViewId="0"/>
  </sheetViews>
  <sheetFormatPr defaultRowHeight="18" customHeight="1"/>
  <cols>
    <col min="1" max="1" width="22.5703125" customWidth="1"/>
    <col min="2" max="2" width="6" style="5" customWidth="1"/>
    <col min="3" max="3" width="10.42578125" style="8" customWidth="1"/>
    <col min="4" max="4" width="8.28515625" style="8" customWidth="1"/>
    <col min="5" max="5" width="11" style="8" customWidth="1"/>
    <col min="6" max="7" width="8.7109375" style="8" customWidth="1"/>
    <col min="8" max="8" width="8" style="9" customWidth="1"/>
    <col min="9" max="9" width="8.7109375" customWidth="1"/>
    <col min="10" max="10" width="10.140625" customWidth="1"/>
    <col min="13" max="13" width="9.85546875" style="8" customWidth="1"/>
    <col min="14" max="14" width="10.5703125" style="8" customWidth="1"/>
    <col min="15" max="16" width="11" style="8" customWidth="1"/>
    <col min="17" max="17" width="10.85546875" customWidth="1"/>
    <col min="18" max="18" width="10.42578125" customWidth="1"/>
    <col min="19" max="19" width="9.85546875" customWidth="1"/>
    <col min="20" max="20" width="8.85546875" customWidth="1"/>
    <col min="21" max="21" width="7.85546875" style="6" customWidth="1"/>
    <col min="22" max="22" width="8.7109375" style="6" customWidth="1"/>
    <col min="23" max="23" width="9.42578125" customWidth="1"/>
    <col min="24" max="24" width="9.5703125" customWidth="1"/>
    <col min="25" max="25" width="9.140625" style="9"/>
    <col min="26" max="26" width="10.5703125" style="6" customWidth="1"/>
    <col min="27" max="33" width="15" customWidth="1"/>
    <col min="34" max="58" width="23.85546875" bestFit="1" customWidth="1"/>
    <col min="59" max="59" width="10.5703125" bestFit="1" customWidth="1"/>
  </cols>
  <sheetData>
    <row r="1" spans="1:29" ht="18" customHeight="1">
      <c r="A1" s="87" t="s">
        <v>127</v>
      </c>
    </row>
    <row r="2" spans="1:29" s="23" customFormat="1" ht="18" customHeight="1">
      <c r="A2" s="24"/>
      <c r="C2" s="25"/>
      <c r="D2" s="43"/>
      <c r="E2" s="26"/>
      <c r="F2" s="44"/>
      <c r="G2" s="44"/>
      <c r="H2" s="43"/>
      <c r="I2" s="43"/>
      <c r="J2" s="43"/>
      <c r="K2" s="43"/>
      <c r="L2" s="26"/>
      <c r="M2" s="26"/>
      <c r="N2" s="43"/>
      <c r="O2" s="43"/>
      <c r="R2" s="23" t="s">
        <v>123</v>
      </c>
      <c r="S2" s="50"/>
      <c r="U2" s="27"/>
      <c r="V2" s="27"/>
      <c r="Y2" s="28"/>
      <c r="Z2" s="27"/>
    </row>
    <row r="3" spans="1:29" s="23" customFormat="1" ht="18" customHeight="1">
      <c r="A3" s="24" t="s">
        <v>5</v>
      </c>
      <c r="C3" s="25"/>
      <c r="D3" s="31">
        <f>coefficients!D13</f>
        <v>10.66</v>
      </c>
      <c r="E3" s="31">
        <f>coefficients!D13</f>
        <v>10.66</v>
      </c>
      <c r="F3" s="44"/>
      <c r="G3" s="29">
        <f>coefficients!D14</f>
        <v>0.45</v>
      </c>
      <c r="H3" s="31">
        <f>coefficients!D11</f>
        <v>14.67</v>
      </c>
      <c r="I3" s="31"/>
      <c r="J3" s="31">
        <f>coefficients!D12</f>
        <v>7.34</v>
      </c>
      <c r="K3" s="31">
        <f>coefficients!D11</f>
        <v>14.67</v>
      </c>
      <c r="L3" s="29">
        <f>coefficients!D5</f>
        <v>4.46</v>
      </c>
      <c r="M3" s="29">
        <f>coefficients!D4</f>
        <v>9.1</v>
      </c>
      <c r="N3" s="31">
        <f>coefficients!D3</f>
        <v>20.46</v>
      </c>
      <c r="O3" s="31">
        <f>coefficients!D9</f>
        <v>23.83</v>
      </c>
      <c r="Q3" s="31">
        <f>coefficients!D8</f>
        <v>9.41</v>
      </c>
      <c r="R3" s="32">
        <f>coefficients!D15</f>
        <v>11.991617175116252</v>
      </c>
      <c r="S3" s="30">
        <v>0</v>
      </c>
      <c r="U3" s="33"/>
      <c r="W3" s="34"/>
      <c r="X3" s="25"/>
      <c r="Y3" s="25"/>
      <c r="Z3" s="34"/>
    </row>
    <row r="4" spans="1:29" s="20" customFormat="1" ht="42" customHeight="1">
      <c r="A4" s="40" t="s">
        <v>31</v>
      </c>
      <c r="B4" s="18" t="s">
        <v>1</v>
      </c>
      <c r="C4" s="19" t="s">
        <v>17</v>
      </c>
      <c r="D4" s="19" t="s">
        <v>7</v>
      </c>
      <c r="E4" s="19" t="s">
        <v>8</v>
      </c>
      <c r="F4" s="19" t="s">
        <v>18</v>
      </c>
      <c r="G4" s="21" t="s">
        <v>24</v>
      </c>
      <c r="H4" s="21" t="s">
        <v>20</v>
      </c>
      <c r="I4" s="21" t="s">
        <v>21</v>
      </c>
      <c r="J4" s="21" t="s">
        <v>23</v>
      </c>
      <c r="K4" s="21" t="s">
        <v>22</v>
      </c>
      <c r="L4" s="19" t="s">
        <v>6</v>
      </c>
      <c r="M4" s="19" t="s">
        <v>37</v>
      </c>
      <c r="N4" s="19" t="s">
        <v>9</v>
      </c>
      <c r="O4" s="19" t="s">
        <v>46</v>
      </c>
      <c r="P4" s="21" t="s">
        <v>25</v>
      </c>
      <c r="Q4" s="21" t="s">
        <v>26</v>
      </c>
      <c r="R4" s="21" t="s">
        <v>19</v>
      </c>
      <c r="S4" s="21" t="s">
        <v>10</v>
      </c>
      <c r="W4" s="11"/>
      <c r="X4" s="11"/>
      <c r="Y4" s="12"/>
      <c r="Z4" s="11"/>
      <c r="AA4" s="17"/>
      <c r="AB4" s="17"/>
      <c r="AC4" s="22"/>
    </row>
    <row r="5" spans="1:29" ht="18" customHeight="1">
      <c r="A5" s="41" t="s">
        <v>11</v>
      </c>
      <c r="B5" s="35">
        <v>1</v>
      </c>
      <c r="C5" s="36">
        <v>4752</v>
      </c>
      <c r="D5" s="8">
        <v>0</v>
      </c>
      <c r="E5" s="2">
        <v>151.87639999999999</v>
      </c>
      <c r="F5" s="36">
        <f t="shared" ref="F5:F10" si="0">C5-D5</f>
        <v>4752</v>
      </c>
      <c r="G5" s="6">
        <f>F5-H5-I5-L5-M5-E5-N5-O5-P5*Q5/43560</f>
        <v>3826.4036520661157</v>
      </c>
      <c r="H5" s="2">
        <v>77.567999999999998</v>
      </c>
      <c r="I5" s="2">
        <v>150.137</v>
      </c>
      <c r="J5" s="2">
        <f t="shared" ref="J5:J10" si="1">I5/2</f>
        <v>75.0685</v>
      </c>
      <c r="K5" s="2">
        <f t="shared" ref="K5:K10" si="2">I5/2</f>
        <v>75.0685</v>
      </c>
      <c r="L5" s="2">
        <v>56.551099999999998</v>
      </c>
      <c r="M5" s="2">
        <v>30.186599999999999</v>
      </c>
      <c r="N5" s="8">
        <v>222.55</v>
      </c>
      <c r="O5" s="8">
        <v>125.157</v>
      </c>
      <c r="P5" s="4">
        <v>972</v>
      </c>
      <c r="Q5" s="6">
        <v>5000</v>
      </c>
      <c r="R5" s="4">
        <v>992</v>
      </c>
      <c r="S5" s="6">
        <v>0</v>
      </c>
      <c r="W5" s="7"/>
      <c r="X5" s="6"/>
      <c r="AA5" s="1"/>
      <c r="AB5" s="1"/>
      <c r="AC5" s="3"/>
    </row>
    <row r="6" spans="1:29" ht="18" customHeight="1">
      <c r="A6" s="41" t="s">
        <v>12</v>
      </c>
      <c r="B6" s="35">
        <v>2</v>
      </c>
      <c r="C6" s="36">
        <v>6495</v>
      </c>
      <c r="D6" s="8">
        <v>2.9329999999999998</v>
      </c>
      <c r="E6" s="2">
        <v>17.976400000000002</v>
      </c>
      <c r="F6" s="36">
        <f t="shared" si="0"/>
        <v>6492.067</v>
      </c>
      <c r="G6" s="6">
        <f t="shared" ref="G6:G10" si="3">F6-H6-I6-L6-M6-E6-N6-O6-P6*Q6/43560</f>
        <v>5053.1753160697899</v>
      </c>
      <c r="H6" s="2">
        <v>164.548</v>
      </c>
      <c r="I6" s="2">
        <v>415.55399999999997</v>
      </c>
      <c r="J6" s="2">
        <f t="shared" si="1"/>
        <v>207.77699999999999</v>
      </c>
      <c r="K6" s="2">
        <f t="shared" si="2"/>
        <v>207.77699999999999</v>
      </c>
      <c r="L6" s="2">
        <v>378.49489999999997</v>
      </c>
      <c r="M6" s="47">
        <f>54.2109+2.24</f>
        <v>56.450900000000004</v>
      </c>
      <c r="N6" s="8">
        <v>24.21</v>
      </c>
      <c r="O6" s="8">
        <v>0</v>
      </c>
      <c r="P6" s="4">
        <v>3325</v>
      </c>
      <c r="Q6" s="6">
        <v>5000</v>
      </c>
      <c r="R6" s="4">
        <v>1912</v>
      </c>
      <c r="S6" s="6">
        <v>0</v>
      </c>
      <c r="W6" s="7"/>
      <c r="X6" s="6"/>
      <c r="AA6" s="1"/>
      <c r="AB6" s="1"/>
      <c r="AC6" s="3"/>
    </row>
    <row r="7" spans="1:29" ht="18" customHeight="1">
      <c r="A7" s="41" t="s">
        <v>13</v>
      </c>
      <c r="B7" s="35">
        <v>3</v>
      </c>
      <c r="C7" s="36">
        <v>3389</v>
      </c>
      <c r="D7" s="8">
        <v>195.083</v>
      </c>
      <c r="E7" s="2">
        <v>17.026199999999999</v>
      </c>
      <c r="F7" s="36">
        <f t="shared" si="0"/>
        <v>3193.9169999999999</v>
      </c>
      <c r="G7" s="6">
        <f t="shared" si="3"/>
        <v>1536.5995044077135</v>
      </c>
      <c r="H7" s="2">
        <v>300.66800000000001</v>
      </c>
      <c r="I7" s="2">
        <v>831.6</v>
      </c>
      <c r="J7" s="2">
        <f t="shared" si="1"/>
        <v>415.8</v>
      </c>
      <c r="K7" s="2">
        <f t="shared" si="2"/>
        <v>415.8</v>
      </c>
      <c r="L7" s="2">
        <v>3.3468</v>
      </c>
      <c r="M7" s="2">
        <v>23.783300000000001</v>
      </c>
      <c r="N7" s="8">
        <v>1.21</v>
      </c>
      <c r="O7" s="8">
        <v>0</v>
      </c>
      <c r="P7" s="4">
        <v>6965</v>
      </c>
      <c r="Q7" s="6">
        <v>3000</v>
      </c>
      <c r="R7" s="4">
        <v>488</v>
      </c>
      <c r="S7" s="6">
        <v>0</v>
      </c>
      <c r="W7" s="7"/>
      <c r="X7" s="6"/>
      <c r="AA7" s="1"/>
      <c r="AB7" s="1"/>
      <c r="AC7" s="3"/>
    </row>
    <row r="8" spans="1:29" ht="18" customHeight="1">
      <c r="A8" s="41" t="s">
        <v>14</v>
      </c>
      <c r="B8" s="35">
        <v>4</v>
      </c>
      <c r="C8" s="36">
        <v>2079</v>
      </c>
      <c r="D8" s="8">
        <v>256.05900000000003</v>
      </c>
      <c r="E8" s="2">
        <v>3.7395</v>
      </c>
      <c r="F8" s="36">
        <f t="shared" si="0"/>
        <v>1822.941</v>
      </c>
      <c r="G8" s="6">
        <f t="shared" si="3"/>
        <v>931.3176920110194</v>
      </c>
      <c r="H8" s="2">
        <v>190.86699999999999</v>
      </c>
      <c r="I8" s="2">
        <v>499.75900000000001</v>
      </c>
      <c r="J8" s="2">
        <f t="shared" si="1"/>
        <v>249.87950000000001</v>
      </c>
      <c r="K8" s="2">
        <f t="shared" si="2"/>
        <v>249.87950000000001</v>
      </c>
      <c r="L8" s="2">
        <v>9.7932000000000006</v>
      </c>
      <c r="M8" s="2">
        <v>2.2029000000000001</v>
      </c>
      <c r="N8" s="8">
        <v>0</v>
      </c>
      <c r="O8" s="8">
        <v>0</v>
      </c>
      <c r="P8" s="4">
        <v>4035</v>
      </c>
      <c r="Q8" s="6">
        <v>2000</v>
      </c>
      <c r="R8" s="4">
        <v>16</v>
      </c>
      <c r="S8" s="6">
        <v>0</v>
      </c>
      <c r="W8" s="7"/>
      <c r="X8" s="6"/>
      <c r="AA8" s="1"/>
      <c r="AB8" s="1"/>
      <c r="AC8" s="3"/>
    </row>
    <row r="9" spans="1:29" ht="18" customHeight="1">
      <c r="A9" s="41" t="s">
        <v>15</v>
      </c>
      <c r="B9" s="35">
        <v>5</v>
      </c>
      <c r="C9" s="35">
        <v>846</v>
      </c>
      <c r="D9" s="8">
        <v>227.964</v>
      </c>
      <c r="E9" s="8">
        <v>0</v>
      </c>
      <c r="F9" s="36">
        <f t="shared" si="0"/>
        <v>618.03600000000006</v>
      </c>
      <c r="G9" s="6">
        <f t="shared" si="3"/>
        <v>189.90224793388435</v>
      </c>
      <c r="H9" s="2">
        <v>92.418000000000006</v>
      </c>
      <c r="I9" s="2">
        <v>284.786</v>
      </c>
      <c r="J9" s="2">
        <f t="shared" si="1"/>
        <v>142.393</v>
      </c>
      <c r="K9" s="2">
        <f t="shared" si="2"/>
        <v>142.393</v>
      </c>
      <c r="L9" s="2">
        <v>0</v>
      </c>
      <c r="M9" s="2">
        <v>0</v>
      </c>
      <c r="N9" s="8">
        <v>0</v>
      </c>
      <c r="O9" s="8">
        <v>0</v>
      </c>
      <c r="P9" s="4">
        <v>1479</v>
      </c>
      <c r="Q9" s="6">
        <v>1500</v>
      </c>
      <c r="R9" s="4">
        <v>12</v>
      </c>
      <c r="S9" s="6">
        <v>0</v>
      </c>
      <c r="W9" s="7"/>
      <c r="X9" s="6"/>
      <c r="AA9" s="1"/>
      <c r="AB9" s="1"/>
      <c r="AC9" s="3"/>
    </row>
    <row r="10" spans="1:29" ht="18" customHeight="1">
      <c r="A10" s="41" t="s">
        <v>16</v>
      </c>
      <c r="B10" s="35">
        <v>6</v>
      </c>
      <c r="C10" s="36">
        <v>1934</v>
      </c>
      <c r="D10" s="8">
        <v>293.43099999999998</v>
      </c>
      <c r="E10" s="8">
        <v>0</v>
      </c>
      <c r="F10" s="36">
        <f t="shared" si="0"/>
        <v>1640.569</v>
      </c>
      <c r="G10" s="6">
        <f t="shared" si="3"/>
        <v>523.04994765840217</v>
      </c>
      <c r="H10" s="2">
        <v>253.089</v>
      </c>
      <c r="I10" s="2">
        <v>632.54300000000001</v>
      </c>
      <c r="J10" s="2">
        <f t="shared" si="1"/>
        <v>316.2715</v>
      </c>
      <c r="K10" s="2">
        <f t="shared" si="2"/>
        <v>316.2715</v>
      </c>
      <c r="L10" s="2">
        <v>0</v>
      </c>
      <c r="M10" s="2">
        <v>0</v>
      </c>
      <c r="N10" s="8">
        <v>0</v>
      </c>
      <c r="O10" s="8">
        <v>0</v>
      </c>
      <c r="P10" s="4">
        <v>6734</v>
      </c>
      <c r="Q10" s="6">
        <v>1500</v>
      </c>
      <c r="R10" s="4">
        <v>12</v>
      </c>
      <c r="S10" s="6">
        <v>0</v>
      </c>
      <c r="W10" s="7"/>
      <c r="X10" s="6"/>
      <c r="AA10" s="1"/>
      <c r="AB10" s="1"/>
      <c r="AC10" s="3"/>
    </row>
    <row r="11" spans="1:29" s="15" customFormat="1" ht="18" customHeight="1">
      <c r="A11" s="42" t="s">
        <v>3</v>
      </c>
      <c r="B11" s="16"/>
      <c r="C11" s="13">
        <f t="shared" ref="C11:K11" si="4">SUM(C5:C10)</f>
        <v>19495</v>
      </c>
      <c r="D11" s="14">
        <f t="shared" si="4"/>
        <v>975.47</v>
      </c>
      <c r="E11" s="14">
        <f t="shared" si="4"/>
        <v>190.61849999999998</v>
      </c>
      <c r="F11" s="13">
        <f t="shared" si="4"/>
        <v>18519.53</v>
      </c>
      <c r="G11" s="13">
        <f t="shared" si="4"/>
        <v>12060.448360146926</v>
      </c>
      <c r="H11" s="38">
        <f t="shared" si="4"/>
        <v>1079.1579999999999</v>
      </c>
      <c r="I11" s="38">
        <f t="shared" si="4"/>
        <v>2814.3790000000004</v>
      </c>
      <c r="J11" s="38">
        <f t="shared" si="4"/>
        <v>1407.1895000000002</v>
      </c>
      <c r="K11" s="38">
        <f t="shared" si="4"/>
        <v>1407.1895000000002</v>
      </c>
      <c r="L11" s="8">
        <v>0</v>
      </c>
      <c r="M11" s="2">
        <v>0</v>
      </c>
      <c r="N11" s="14">
        <f>SUM(N5:N10)</f>
        <v>247.97000000000003</v>
      </c>
      <c r="O11" s="14">
        <f>SUM(O5:O10)</f>
        <v>125.157</v>
      </c>
      <c r="P11" s="13">
        <f>SUM(P5:P10)</f>
        <v>23510</v>
      </c>
      <c r="Q11" s="13"/>
      <c r="R11" s="14">
        <f>SUM(R5:R10)</f>
        <v>3432</v>
      </c>
      <c r="S11" s="14">
        <f>SUM(S5:S10)</f>
        <v>0</v>
      </c>
      <c r="W11" s="7"/>
      <c r="X11" s="13"/>
      <c r="Y11" s="39"/>
      <c r="Z11" s="13"/>
      <c r="AA11" s="13"/>
    </row>
    <row r="12" spans="1:29" ht="51.75" customHeight="1">
      <c r="W12" s="11"/>
      <c r="X12" s="11"/>
      <c r="Y12" s="12"/>
      <c r="Z12" s="10"/>
    </row>
    <row r="13" spans="1:29" s="21" customFormat="1" ht="48" customHeight="1">
      <c r="A13" s="40" t="s">
        <v>30</v>
      </c>
      <c r="B13" s="18" t="s">
        <v>1</v>
      </c>
      <c r="C13" s="19" t="s">
        <v>33</v>
      </c>
      <c r="D13" s="19" t="s">
        <v>38</v>
      </c>
      <c r="E13" s="21" t="s">
        <v>50</v>
      </c>
      <c r="F13" s="21" t="s">
        <v>32</v>
      </c>
      <c r="G13" s="21" t="s">
        <v>34</v>
      </c>
      <c r="H13" s="21" t="s">
        <v>35</v>
      </c>
      <c r="I13" s="21" t="s">
        <v>27</v>
      </c>
      <c r="J13" s="21" t="s">
        <v>28</v>
      </c>
      <c r="K13" s="21" t="s">
        <v>29</v>
      </c>
      <c r="L13" s="19" t="s">
        <v>47</v>
      </c>
      <c r="M13" s="19" t="s">
        <v>48</v>
      </c>
      <c r="N13" s="19" t="s">
        <v>49</v>
      </c>
      <c r="O13" s="21" t="s">
        <v>46</v>
      </c>
      <c r="P13" s="19" t="s">
        <v>45</v>
      </c>
      <c r="Q13" s="21" t="s">
        <v>40</v>
      </c>
      <c r="R13" s="21" t="s">
        <v>51</v>
      </c>
      <c r="S13" s="21" t="s">
        <v>54</v>
      </c>
      <c r="T13" s="11" t="s">
        <v>4</v>
      </c>
      <c r="U13" s="12" t="s">
        <v>2</v>
      </c>
      <c r="V13" s="11" t="s">
        <v>52</v>
      </c>
      <c r="Z13" s="11"/>
      <c r="AA13" s="18"/>
      <c r="AB13" s="18"/>
      <c r="AC13" s="46"/>
    </row>
    <row r="14" spans="1:29" ht="18" customHeight="1">
      <c r="A14" s="41" t="s">
        <v>11</v>
      </c>
      <c r="B14" s="35">
        <v>1</v>
      </c>
      <c r="C14" s="6">
        <f t="shared" ref="C14:D19" si="5">D$3*D5</f>
        <v>0</v>
      </c>
      <c r="D14" s="6">
        <f t="shared" si="5"/>
        <v>1619.002424</v>
      </c>
      <c r="E14" s="6">
        <f>G$3*G5</f>
        <v>1721.8816434297521</v>
      </c>
      <c r="F14" s="6">
        <f t="shared" ref="E14:F19" si="6">H$3*H5</f>
        <v>1137.92256</v>
      </c>
      <c r="G14" s="6">
        <f>J$3*J5</f>
        <v>551.00279</v>
      </c>
      <c r="H14" s="6">
        <f>K$3*J5</f>
        <v>1101.254895</v>
      </c>
      <c r="I14" s="6">
        <f>SUM(F14:H14)</f>
        <v>2790.180245</v>
      </c>
      <c r="J14" s="45">
        <v>0</v>
      </c>
      <c r="K14" s="6">
        <f t="shared" ref="K14:K19" si="7">I14*(1-J14)</f>
        <v>2790.180245</v>
      </c>
      <c r="L14" s="6">
        <f t="shared" ref="L14:O19" si="8">L$3*L5</f>
        <v>252.217906</v>
      </c>
      <c r="M14" s="6">
        <f t="shared" si="8"/>
        <v>274.69806</v>
      </c>
      <c r="N14" s="6">
        <f t="shared" si="8"/>
        <v>4553.3730000000005</v>
      </c>
      <c r="O14" s="6">
        <f t="shared" si="8"/>
        <v>2982.4913099999999</v>
      </c>
      <c r="P14" s="6">
        <f>P5*Q5/43560*Q$3</f>
        <v>1049.8760330578514</v>
      </c>
      <c r="Q14" s="6">
        <f t="shared" ref="Q14:R19" si="9">R$3*R5</f>
        <v>11895.684237715323</v>
      </c>
      <c r="R14" s="6">
        <f t="shared" si="9"/>
        <v>0</v>
      </c>
      <c r="S14" s="6">
        <v>0</v>
      </c>
      <c r="T14" s="6">
        <f>SUM(C14,D14,E14,K14,L14,M14,N14,O14,P14,Q14,R14,S14)</f>
        <v>27139.404859202928</v>
      </c>
      <c r="U14" s="37">
        <v>0.8</v>
      </c>
      <c r="V14" s="6">
        <f>T14*U14</f>
        <v>21711.523887362346</v>
      </c>
    </row>
    <row r="15" spans="1:29" ht="18" customHeight="1">
      <c r="A15" s="41" t="s">
        <v>12</v>
      </c>
      <c r="B15" s="35">
        <v>2</v>
      </c>
      <c r="C15" s="6">
        <f t="shared" si="5"/>
        <v>31.265779999999999</v>
      </c>
      <c r="D15" s="6">
        <f t="shared" si="5"/>
        <v>191.62842400000002</v>
      </c>
      <c r="E15" s="6">
        <f t="shared" si="6"/>
        <v>2273.9288922314054</v>
      </c>
      <c r="F15" s="6">
        <f t="shared" si="6"/>
        <v>2413.9191599999999</v>
      </c>
      <c r="G15" s="6">
        <f t="shared" ref="G15:G19" si="10">J$3*J6</f>
        <v>1525.0831799999999</v>
      </c>
      <c r="H15" s="6">
        <f t="shared" ref="H15:H19" si="11">K$3*J6</f>
        <v>3048.0885899999998</v>
      </c>
      <c r="I15" s="6">
        <f t="shared" ref="I15:I19" si="12">SUM(F15:H15)</f>
        <v>6987.0909300000003</v>
      </c>
      <c r="J15" s="45">
        <f>'STORM-CSO'!I12</f>
        <v>0.5</v>
      </c>
      <c r="K15" s="6">
        <f t="shared" si="7"/>
        <v>3493.5454650000001</v>
      </c>
      <c r="L15" s="6">
        <f t="shared" si="8"/>
        <v>1688.0872539999998</v>
      </c>
      <c r="M15" s="6">
        <f t="shared" si="8"/>
        <v>513.70319000000006</v>
      </c>
      <c r="N15" s="6">
        <f t="shared" si="8"/>
        <v>495.33660000000003</v>
      </c>
      <c r="O15" s="6">
        <f t="shared" si="8"/>
        <v>0</v>
      </c>
      <c r="P15" s="6">
        <f t="shared" ref="P15:P19" si="13">P6*Q6/43560*Q$3</f>
        <v>3591.3969237832871</v>
      </c>
      <c r="Q15" s="6">
        <f t="shared" si="9"/>
        <v>22927.972038822274</v>
      </c>
      <c r="R15" s="6">
        <f t="shared" si="9"/>
        <v>0</v>
      </c>
      <c r="S15" s="51">
        <f>1662.3*2.204</f>
        <v>3663.7092000000002</v>
      </c>
      <c r="T15" s="6">
        <f t="shared" ref="T15:T19" si="14">SUM(C15,D15,E15,K15,L15,M15,N15,O15,P15,Q15,R15,S15)</f>
        <v>38870.573767836962</v>
      </c>
      <c r="U15" s="37">
        <v>0.8</v>
      </c>
      <c r="V15" s="6">
        <f t="shared" ref="V15:V20" si="15">T15*U15</f>
        <v>31096.459014269571</v>
      </c>
    </row>
    <row r="16" spans="1:29" ht="18" customHeight="1">
      <c r="A16" s="41" t="s">
        <v>13</v>
      </c>
      <c r="B16" s="35">
        <v>3</v>
      </c>
      <c r="C16" s="6">
        <f t="shared" si="5"/>
        <v>2079.5847800000001</v>
      </c>
      <c r="D16" s="6">
        <f t="shared" si="5"/>
        <v>181.499292</v>
      </c>
      <c r="E16" s="6">
        <f t="shared" si="6"/>
        <v>691.46977698347109</v>
      </c>
      <c r="F16" s="6">
        <f t="shared" si="6"/>
        <v>4410.7995600000004</v>
      </c>
      <c r="G16" s="6">
        <f t="shared" si="10"/>
        <v>3051.9720000000002</v>
      </c>
      <c r="H16" s="6">
        <f t="shared" si="11"/>
        <v>6099.7860000000001</v>
      </c>
      <c r="I16" s="6">
        <f t="shared" si="12"/>
        <v>13562.557560000001</v>
      </c>
      <c r="J16" s="45">
        <f>'STORM-CSO'!I15</f>
        <v>0.9</v>
      </c>
      <c r="K16" s="6">
        <f t="shared" si="7"/>
        <v>1356.2557559999998</v>
      </c>
      <c r="L16" s="6">
        <f t="shared" si="8"/>
        <v>14.926728000000001</v>
      </c>
      <c r="M16" s="6">
        <f t="shared" si="8"/>
        <v>216.42803000000001</v>
      </c>
      <c r="N16" s="6">
        <f t="shared" si="8"/>
        <v>24.756599999999999</v>
      </c>
      <c r="O16" s="6">
        <f t="shared" si="8"/>
        <v>0</v>
      </c>
      <c r="P16" s="6">
        <f t="shared" si="13"/>
        <v>4513.8188705234161</v>
      </c>
      <c r="Q16" s="6">
        <f t="shared" si="9"/>
        <v>5851.9091814567309</v>
      </c>
      <c r="R16" s="6">
        <f t="shared" si="9"/>
        <v>0</v>
      </c>
      <c r="S16" s="6">
        <f>5512.8*2.204</f>
        <v>12150.211200000002</v>
      </c>
      <c r="T16" s="6">
        <f t="shared" si="14"/>
        <v>27080.860214963621</v>
      </c>
      <c r="U16" s="37">
        <v>1</v>
      </c>
      <c r="V16" s="6">
        <f t="shared" si="15"/>
        <v>27080.860214963621</v>
      </c>
    </row>
    <row r="17" spans="1:22" ht="18" customHeight="1">
      <c r="A17" s="41" t="s">
        <v>14</v>
      </c>
      <c r="B17" s="35">
        <v>4</v>
      </c>
      <c r="C17" s="6">
        <f t="shared" si="5"/>
        <v>2729.5889400000001</v>
      </c>
      <c r="D17" s="6">
        <f t="shared" si="5"/>
        <v>39.86307</v>
      </c>
      <c r="E17" s="6">
        <f t="shared" si="6"/>
        <v>419.09296140495871</v>
      </c>
      <c r="F17" s="6">
        <f t="shared" si="6"/>
        <v>2800.0188899999998</v>
      </c>
      <c r="G17" s="6">
        <f t="shared" si="10"/>
        <v>1834.11553</v>
      </c>
      <c r="H17" s="6">
        <f t="shared" si="11"/>
        <v>3665.7322650000001</v>
      </c>
      <c r="I17" s="6">
        <f t="shared" si="12"/>
        <v>8299.8666850000009</v>
      </c>
      <c r="J17" s="45">
        <f>'STORM-CSO'!I15</f>
        <v>0.9</v>
      </c>
      <c r="K17" s="6">
        <f t="shared" si="7"/>
        <v>829.98666849999995</v>
      </c>
      <c r="L17" s="6">
        <f t="shared" si="8"/>
        <v>43.677672000000001</v>
      </c>
      <c r="M17" s="6">
        <f t="shared" si="8"/>
        <v>20.046389999999999</v>
      </c>
      <c r="N17" s="6">
        <f t="shared" si="8"/>
        <v>0</v>
      </c>
      <c r="O17" s="6">
        <f t="shared" si="8"/>
        <v>0</v>
      </c>
      <c r="P17" s="6">
        <f t="shared" si="13"/>
        <v>1743.3126721763085</v>
      </c>
      <c r="Q17" s="6">
        <f t="shared" si="9"/>
        <v>191.86587480186003</v>
      </c>
      <c r="R17" s="6">
        <f t="shared" si="9"/>
        <v>0</v>
      </c>
      <c r="S17" s="6">
        <f>1418.2*2.204</f>
        <v>3125.7128000000002</v>
      </c>
      <c r="T17" s="6">
        <f t="shared" si="14"/>
        <v>9143.1470488831274</v>
      </c>
      <c r="U17" s="37">
        <v>1</v>
      </c>
      <c r="V17" s="6">
        <f t="shared" si="15"/>
        <v>9143.1470488831274</v>
      </c>
    </row>
    <row r="18" spans="1:22" ht="18" customHeight="1">
      <c r="A18" s="41" t="s">
        <v>15</v>
      </c>
      <c r="B18" s="35">
        <v>5</v>
      </c>
      <c r="C18" s="6">
        <f t="shared" si="5"/>
        <v>2430.0962399999999</v>
      </c>
      <c r="D18" s="6">
        <f t="shared" si="5"/>
        <v>0</v>
      </c>
      <c r="E18" s="6">
        <f t="shared" si="6"/>
        <v>85.456011570247966</v>
      </c>
      <c r="F18" s="6">
        <f t="shared" si="6"/>
        <v>1355.77206</v>
      </c>
      <c r="G18" s="6">
        <f t="shared" si="10"/>
        <v>1045.16462</v>
      </c>
      <c r="H18" s="6">
        <f t="shared" si="11"/>
        <v>2088.9053100000001</v>
      </c>
      <c r="I18" s="6">
        <f t="shared" si="12"/>
        <v>4489.8419899999999</v>
      </c>
      <c r="J18" s="45">
        <f>'STORM-CSO'!I17</f>
        <v>0.9</v>
      </c>
      <c r="K18" s="6">
        <f t="shared" si="7"/>
        <v>448.98419899999988</v>
      </c>
      <c r="L18" s="6">
        <f t="shared" si="8"/>
        <v>0</v>
      </c>
      <c r="M18" s="6">
        <f t="shared" si="8"/>
        <v>0</v>
      </c>
      <c r="N18" s="6">
        <f t="shared" si="8"/>
        <v>0</v>
      </c>
      <c r="O18" s="6">
        <f t="shared" si="8"/>
        <v>0</v>
      </c>
      <c r="P18" s="6">
        <f t="shared" si="13"/>
        <v>479.2489669421488</v>
      </c>
      <c r="Q18" s="6">
        <f t="shared" si="9"/>
        <v>143.89940610139502</v>
      </c>
      <c r="R18" s="6">
        <f t="shared" si="9"/>
        <v>0</v>
      </c>
      <c r="S18" s="6">
        <f>34.9*2.204</f>
        <v>76.919600000000003</v>
      </c>
      <c r="T18" s="6">
        <f t="shared" si="14"/>
        <v>3664.6044236137918</v>
      </c>
      <c r="U18" s="37">
        <v>1</v>
      </c>
      <c r="V18" s="6">
        <f t="shared" si="15"/>
        <v>3664.6044236137918</v>
      </c>
    </row>
    <row r="19" spans="1:22" ht="18" customHeight="1">
      <c r="A19" s="41" t="s">
        <v>16</v>
      </c>
      <c r="B19" s="35">
        <v>6</v>
      </c>
      <c r="C19" s="6">
        <f t="shared" si="5"/>
        <v>3127.9744599999999</v>
      </c>
      <c r="D19" s="6">
        <f t="shared" si="5"/>
        <v>0</v>
      </c>
      <c r="E19" s="6">
        <f t="shared" si="6"/>
        <v>235.37247644628098</v>
      </c>
      <c r="F19" s="6">
        <f t="shared" si="6"/>
        <v>3712.8156300000001</v>
      </c>
      <c r="G19" s="6">
        <f t="shared" si="10"/>
        <v>2321.4328099999998</v>
      </c>
      <c r="H19" s="6">
        <f t="shared" si="11"/>
        <v>4639.7029050000001</v>
      </c>
      <c r="I19" s="6">
        <f t="shared" si="12"/>
        <v>10673.951344999999</v>
      </c>
      <c r="J19" s="45">
        <f>'STORM-CSO'!I22</f>
        <v>0.9</v>
      </c>
      <c r="K19" s="6">
        <f t="shared" si="7"/>
        <v>1067.3951344999998</v>
      </c>
      <c r="L19" s="6">
        <f t="shared" si="8"/>
        <v>0</v>
      </c>
      <c r="M19" s="6">
        <f t="shared" si="8"/>
        <v>0</v>
      </c>
      <c r="N19" s="6">
        <f t="shared" si="8"/>
        <v>0</v>
      </c>
      <c r="O19" s="6">
        <f t="shared" si="8"/>
        <v>0</v>
      </c>
      <c r="P19" s="6">
        <f t="shared" si="13"/>
        <v>2182.0571625344355</v>
      </c>
      <c r="Q19" s="6">
        <f t="shared" si="9"/>
        <v>143.89940610139502</v>
      </c>
      <c r="R19" s="6">
        <f t="shared" si="9"/>
        <v>0</v>
      </c>
      <c r="S19" s="6">
        <f>1078.2*2.204</f>
        <v>2376.3528000000001</v>
      </c>
      <c r="T19" s="6">
        <f t="shared" si="14"/>
        <v>9133.0514395821119</v>
      </c>
      <c r="U19" s="37">
        <v>1</v>
      </c>
      <c r="V19" s="6">
        <f t="shared" si="15"/>
        <v>9133.0514395821119</v>
      </c>
    </row>
    <row r="20" spans="1:22" ht="18" customHeight="1">
      <c r="A20" s="41" t="s">
        <v>53</v>
      </c>
      <c r="B20" s="35"/>
      <c r="C20" s="6"/>
      <c r="D20" s="6"/>
      <c r="E20" s="6"/>
      <c r="F20" s="6"/>
      <c r="G20" s="6"/>
      <c r="H20" s="6"/>
      <c r="I20" s="6"/>
      <c r="J20" s="45"/>
      <c r="K20" s="6"/>
      <c r="L20" s="6"/>
      <c r="M20" s="6"/>
      <c r="N20" s="6"/>
      <c r="O20" s="6"/>
      <c r="P20" s="6"/>
      <c r="Q20" s="6"/>
      <c r="R20" s="6"/>
      <c r="S20" s="51">
        <v>93148</v>
      </c>
      <c r="T20" s="6">
        <f>SUM(C20,D20,E20,K20,L20,M20,N20,O20,P20,Q20,R20,S20)</f>
        <v>93148</v>
      </c>
      <c r="U20" s="37">
        <v>1</v>
      </c>
      <c r="V20" s="6">
        <f t="shared" si="15"/>
        <v>93148</v>
      </c>
    </row>
    <row r="21" spans="1:22" ht="18" customHeight="1">
      <c r="A21" s="42" t="s">
        <v>36</v>
      </c>
      <c r="B21" s="16"/>
      <c r="C21" s="6">
        <f t="shared" ref="C21:E21" si="16">SUM(C14:C19)</f>
        <v>10398.510200000001</v>
      </c>
      <c r="D21" s="6">
        <f t="shared" si="16"/>
        <v>2031.9932100000001</v>
      </c>
      <c r="E21" s="6">
        <f t="shared" si="16"/>
        <v>5427.2017620661163</v>
      </c>
      <c r="F21" s="6">
        <f>SUM(F14:F19)</f>
        <v>15831.247859999999</v>
      </c>
      <c r="G21" s="6">
        <f>SUM(G14:G19)</f>
        <v>10328.770930000001</v>
      </c>
      <c r="H21" s="6">
        <f>SUM(H14:H19)</f>
        <v>20643.469965</v>
      </c>
      <c r="I21" s="6">
        <f>SUM(I14:I19)</f>
        <v>46803.488755000006</v>
      </c>
      <c r="J21" s="6"/>
      <c r="K21" s="6">
        <f t="shared" ref="K21:Q21" si="17">SUM(K14:K19)</f>
        <v>9986.3474680000018</v>
      </c>
      <c r="L21" s="6">
        <f t="shared" si="17"/>
        <v>1998.9095599999998</v>
      </c>
      <c r="M21" s="6">
        <f t="shared" si="17"/>
        <v>1024.8756700000001</v>
      </c>
      <c r="N21" s="6">
        <f t="shared" si="17"/>
        <v>5073.4661999999998</v>
      </c>
      <c r="O21" s="6">
        <f t="shared" si="17"/>
        <v>2982.4913099999999</v>
      </c>
      <c r="P21" s="6">
        <f t="shared" si="17"/>
        <v>13559.710629017449</v>
      </c>
      <c r="Q21" s="6">
        <f t="shared" si="17"/>
        <v>41155.230144998975</v>
      </c>
      <c r="R21" s="6">
        <f t="shared" ref="R21" si="18">SUM(R14:R19)</f>
        <v>0</v>
      </c>
      <c r="S21" s="6">
        <f>SUM(S14:S20)</f>
        <v>114540.9056</v>
      </c>
      <c r="T21" s="6">
        <f t="shared" ref="T21" si="19">SUM(T14:T20)</f>
        <v>208179.64175408255</v>
      </c>
      <c r="V21" s="6">
        <f t="shared" ref="V21" si="20">SUM(V14:V20)</f>
        <v>194977.64602867456</v>
      </c>
    </row>
    <row r="22" spans="1:22" ht="18" customHeight="1">
      <c r="C22" s="6"/>
      <c r="D22" s="6"/>
      <c r="E22" s="6"/>
      <c r="F22" s="6"/>
      <c r="G22" s="6"/>
      <c r="H22" s="6"/>
      <c r="I22" s="6"/>
      <c r="J22" s="6"/>
      <c r="K22" s="6"/>
      <c r="L22" s="6"/>
      <c r="M22" s="6"/>
      <c r="N22" s="6"/>
      <c r="O22" s="6"/>
      <c r="P22" s="6"/>
      <c r="Q22" s="6"/>
      <c r="R22" s="6"/>
      <c r="S22" s="6"/>
    </row>
    <row r="23" spans="1:22" ht="50.25" customHeight="1">
      <c r="A23" s="40" t="s">
        <v>30</v>
      </c>
      <c r="B23" s="18" t="s">
        <v>1</v>
      </c>
      <c r="C23" s="36" t="s">
        <v>42</v>
      </c>
      <c r="D23" s="48" t="s">
        <v>43</v>
      </c>
      <c r="E23" s="36" t="s">
        <v>44</v>
      </c>
      <c r="F23" s="36" t="s">
        <v>55</v>
      </c>
      <c r="G23" s="36" t="s">
        <v>39</v>
      </c>
      <c r="H23" s="36" t="s">
        <v>40</v>
      </c>
      <c r="I23" s="36" t="s">
        <v>41</v>
      </c>
      <c r="J23" s="36" t="s">
        <v>56</v>
      </c>
      <c r="K23" s="12" t="s">
        <v>2</v>
      </c>
      <c r="L23" s="49"/>
      <c r="M23" s="49"/>
      <c r="N23" s="49"/>
      <c r="O23" s="49"/>
      <c r="P23" s="49"/>
      <c r="Q23" s="49"/>
      <c r="R23" s="6"/>
      <c r="S23" s="6"/>
    </row>
    <row r="24" spans="1:22" ht="18" customHeight="1">
      <c r="A24" s="41" t="s">
        <v>11</v>
      </c>
      <c r="B24" s="35">
        <v>1</v>
      </c>
      <c r="C24" s="51">
        <f>SUM(C14:E14)</f>
        <v>3340.8840674297521</v>
      </c>
      <c r="D24" s="6">
        <f>SUM('STORM-CSO'!H6:H9)</f>
        <v>2790.1692400000002</v>
      </c>
      <c r="E24" s="6">
        <f>S14</f>
        <v>0</v>
      </c>
      <c r="F24" s="51">
        <f>SUM(L14:O14)</f>
        <v>8062.7802759999995</v>
      </c>
      <c r="G24" s="6">
        <f>P14</f>
        <v>1049.8760330578514</v>
      </c>
      <c r="H24" s="6">
        <f>Q14</f>
        <v>11895.684237715323</v>
      </c>
      <c r="I24" s="6"/>
      <c r="J24" s="6">
        <f>SUM(C24:I24)</f>
        <v>27139.393854202928</v>
      </c>
      <c r="K24" s="37">
        <v>0.8</v>
      </c>
      <c r="L24" s="6">
        <f>J24*K24</f>
        <v>21711.515083362345</v>
      </c>
    </row>
    <row r="25" spans="1:22" ht="18" customHeight="1">
      <c r="A25" s="41" t="s">
        <v>12</v>
      </c>
      <c r="B25" s="35">
        <v>2</v>
      </c>
      <c r="C25" s="51">
        <f t="shared" ref="C25:C29" si="21">SUM(C15:E15)</f>
        <v>2496.8230962314055</v>
      </c>
      <c r="D25" s="6">
        <f>SUM('STORM-CSO'!H10:H12)</f>
        <v>6986.4344350000001</v>
      </c>
      <c r="E25" s="6">
        <f t="shared" ref="E25:E29" si="22">S15</f>
        <v>3663.7092000000002</v>
      </c>
      <c r="F25" s="51">
        <f t="shared" ref="F25:F29" si="23">SUM(L15:O15)</f>
        <v>2697.1270439999998</v>
      </c>
      <c r="G25" s="6">
        <f t="shared" ref="G25:G29" si="24">P15</f>
        <v>3591.3969237832871</v>
      </c>
      <c r="H25" s="6">
        <f t="shared" ref="H25:H29" si="25">Q15</f>
        <v>22927.972038822274</v>
      </c>
      <c r="I25" s="6"/>
      <c r="J25" s="6">
        <f t="shared" ref="J25:J30" si="26">SUM(C25:I25)</f>
        <v>42363.462737836962</v>
      </c>
      <c r="K25" s="37">
        <v>0.8</v>
      </c>
      <c r="L25" s="6">
        <f t="shared" ref="L25:L29" si="27">J25*K25</f>
        <v>33890.77019026957</v>
      </c>
    </row>
    <row r="26" spans="1:22" ht="18" customHeight="1">
      <c r="A26" s="41" t="s">
        <v>13</v>
      </c>
      <c r="B26" s="35">
        <v>3</v>
      </c>
      <c r="C26" s="51">
        <f t="shared" si="21"/>
        <v>2952.5538489834712</v>
      </c>
      <c r="D26" s="6">
        <f>SUM('STORM-CSO'!H13:H15)</f>
        <v>13497.214345</v>
      </c>
      <c r="E26" s="6">
        <f t="shared" si="22"/>
        <v>12150.211200000002</v>
      </c>
      <c r="F26" s="51">
        <f t="shared" si="23"/>
        <v>256.111358</v>
      </c>
      <c r="G26" s="6">
        <f t="shared" si="24"/>
        <v>4513.8188705234161</v>
      </c>
      <c r="H26" s="6">
        <f t="shared" si="25"/>
        <v>5851.9091814567309</v>
      </c>
      <c r="I26" s="6"/>
      <c r="J26" s="6">
        <f t="shared" si="26"/>
        <v>39221.818803963615</v>
      </c>
      <c r="K26" s="37">
        <v>1</v>
      </c>
      <c r="L26" s="6">
        <f t="shared" si="27"/>
        <v>39221.818803963615</v>
      </c>
    </row>
    <row r="27" spans="1:22" ht="18" customHeight="1">
      <c r="A27" s="41" t="s">
        <v>14</v>
      </c>
      <c r="B27" s="35">
        <v>4</v>
      </c>
      <c r="C27" s="51">
        <f t="shared" si="21"/>
        <v>3188.5449714049587</v>
      </c>
      <c r="D27" s="6">
        <f>SUM('STORM-CSO'!H16:H17)</f>
        <v>8296.9986950000002</v>
      </c>
      <c r="E27" s="6">
        <f t="shared" si="22"/>
        <v>3125.7128000000002</v>
      </c>
      <c r="F27" s="51">
        <f t="shared" si="23"/>
        <v>63.724062000000004</v>
      </c>
      <c r="G27" s="6">
        <f t="shared" si="24"/>
        <v>1743.3126721763085</v>
      </c>
      <c r="H27" s="6">
        <f t="shared" si="25"/>
        <v>191.86587480186003</v>
      </c>
      <c r="I27" s="6"/>
      <c r="J27" s="6">
        <f t="shared" si="26"/>
        <v>16610.15907538313</v>
      </c>
      <c r="K27" s="37">
        <v>1</v>
      </c>
      <c r="L27" s="6">
        <f t="shared" si="27"/>
        <v>16610.15907538313</v>
      </c>
    </row>
    <row r="28" spans="1:22" ht="18" customHeight="1">
      <c r="A28" s="41" t="s">
        <v>15</v>
      </c>
      <c r="B28" s="35">
        <v>5</v>
      </c>
      <c r="C28" s="51">
        <f t="shared" si="21"/>
        <v>2515.5522515702478</v>
      </c>
      <c r="D28" s="6">
        <f>SUM('STORM-CSO'!H18:H19)</f>
        <v>4464.2500099999997</v>
      </c>
      <c r="E28" s="6">
        <f t="shared" si="22"/>
        <v>76.919600000000003</v>
      </c>
      <c r="F28" s="51">
        <f t="shared" si="23"/>
        <v>0</v>
      </c>
      <c r="G28" s="6">
        <f t="shared" si="24"/>
        <v>479.2489669421488</v>
      </c>
      <c r="H28" s="6">
        <f t="shared" si="25"/>
        <v>143.89940610139502</v>
      </c>
      <c r="I28" s="6"/>
      <c r="J28" s="6">
        <f t="shared" si="26"/>
        <v>7679.8702346137907</v>
      </c>
      <c r="K28" s="37">
        <v>1</v>
      </c>
      <c r="L28" s="6">
        <f t="shared" si="27"/>
        <v>7679.8702346137907</v>
      </c>
    </row>
    <row r="29" spans="1:22" ht="18" customHeight="1">
      <c r="A29" s="41" t="s">
        <v>16</v>
      </c>
      <c r="B29" s="35">
        <v>6</v>
      </c>
      <c r="C29" s="51">
        <f t="shared" si="21"/>
        <v>3363.3469364462808</v>
      </c>
      <c r="D29" s="6">
        <f>SUM('STORM-CSO'!H20:H22)</f>
        <v>10672.905869999999</v>
      </c>
      <c r="E29" s="6">
        <f t="shared" si="22"/>
        <v>2376.3528000000001</v>
      </c>
      <c r="F29" s="51">
        <f t="shared" si="23"/>
        <v>0</v>
      </c>
      <c r="G29" s="6">
        <f t="shared" si="24"/>
        <v>2182.0571625344355</v>
      </c>
      <c r="H29" s="6">
        <f t="shared" si="25"/>
        <v>143.89940610139502</v>
      </c>
      <c r="I29" s="6">
        <f>S20</f>
        <v>93148</v>
      </c>
      <c r="J29" s="6">
        <f t="shared" si="26"/>
        <v>111886.5621750821</v>
      </c>
      <c r="K29" s="37">
        <v>1</v>
      </c>
      <c r="L29" s="6">
        <f t="shared" si="27"/>
        <v>111886.5621750821</v>
      </c>
    </row>
    <row r="30" spans="1:22" ht="18" customHeight="1">
      <c r="A30" s="42" t="s">
        <v>36</v>
      </c>
      <c r="B30" s="16"/>
      <c r="C30" s="6">
        <f>SUM(C24:C29)</f>
        <v>17857.705172066115</v>
      </c>
      <c r="D30" s="6">
        <f>SUM('STORM-CSO'!H12:H15)</f>
        <v>14992.445090000001</v>
      </c>
      <c r="E30" s="6">
        <f t="shared" ref="E30:I30" si="28">SUM(E24:E29)</f>
        <v>21392.905600000006</v>
      </c>
      <c r="F30" s="6">
        <f t="shared" si="28"/>
        <v>11079.742739999998</v>
      </c>
      <c r="G30" s="6">
        <f t="shared" si="28"/>
        <v>13559.710629017449</v>
      </c>
      <c r="H30" s="6">
        <f t="shared" si="28"/>
        <v>41155.230144998975</v>
      </c>
      <c r="I30" s="6">
        <f t="shared" si="28"/>
        <v>93148</v>
      </c>
      <c r="J30" s="6">
        <f t="shared" si="26"/>
        <v>213185.73937608255</v>
      </c>
      <c r="K30" s="37"/>
      <c r="L30" s="6">
        <f t="shared" ref="L30" si="29">SUM(L24:L29)</f>
        <v>231000.69556267455</v>
      </c>
    </row>
    <row r="32" spans="1:22" ht="45.75" customHeight="1">
      <c r="A32" s="40" t="s">
        <v>30</v>
      </c>
      <c r="B32" s="18" t="s">
        <v>1</v>
      </c>
      <c r="C32" s="36" t="s">
        <v>42</v>
      </c>
      <c r="D32" s="48" t="s">
        <v>43</v>
      </c>
      <c r="E32" s="36" t="s">
        <v>44</v>
      </c>
      <c r="F32" s="36" t="s">
        <v>55</v>
      </c>
      <c r="G32" s="36" t="s">
        <v>39</v>
      </c>
      <c r="H32" s="36" t="s">
        <v>40</v>
      </c>
      <c r="I32" s="36" t="s">
        <v>41</v>
      </c>
      <c r="J32" s="36" t="s">
        <v>57</v>
      </c>
      <c r="K32" s="36" t="s">
        <v>58</v>
      </c>
    </row>
    <row r="33" spans="1:16" ht="18" customHeight="1">
      <c r="A33" s="41" t="s">
        <v>11</v>
      </c>
      <c r="B33" s="35">
        <v>1</v>
      </c>
      <c r="C33" s="51">
        <f>C24*$K24</f>
        <v>2672.7072539438018</v>
      </c>
      <c r="D33" s="51">
        <f>SUM('STORM-CSO'!J6:J9)*$K24</f>
        <v>2232.1353920000001</v>
      </c>
      <c r="E33" s="51">
        <f>E24</f>
        <v>0</v>
      </c>
      <c r="F33" s="51">
        <f t="shared" ref="F33:I33" si="30">F24*$K24</f>
        <v>6450.2242207999998</v>
      </c>
      <c r="G33" s="51">
        <f t="shared" si="30"/>
        <v>839.90082644628114</v>
      </c>
      <c r="H33" s="51">
        <f t="shared" si="30"/>
        <v>9516.547390172258</v>
      </c>
      <c r="I33" s="51">
        <f t="shared" si="30"/>
        <v>0</v>
      </c>
      <c r="J33" s="51">
        <f>SUM(C33:I33)</f>
        <v>21711.515083362341</v>
      </c>
      <c r="K33" s="52">
        <f>J33/J$39</f>
        <v>0.10649479372390243</v>
      </c>
    </row>
    <row r="34" spans="1:16" ht="18" customHeight="1">
      <c r="A34" s="41" t="s">
        <v>12</v>
      </c>
      <c r="B34" s="35">
        <v>2</v>
      </c>
      <c r="C34" s="51">
        <f>C25*$K25</f>
        <v>1997.4584769851244</v>
      </c>
      <c r="D34" s="51">
        <f>SUM('STORM-CSO'!J10:J12)*$K25</f>
        <v>4991.0552500000013</v>
      </c>
      <c r="E34" s="51">
        <f>E25</f>
        <v>3663.7092000000002</v>
      </c>
      <c r="F34" s="51">
        <f t="shared" ref="F34:I34" si="31">F25*$K25</f>
        <v>2157.7016352000001</v>
      </c>
      <c r="G34" s="51">
        <f t="shared" si="31"/>
        <v>2873.1175390266299</v>
      </c>
      <c r="H34" s="51">
        <f t="shared" si="31"/>
        <v>18342.377631057821</v>
      </c>
      <c r="I34" s="51">
        <f t="shared" si="31"/>
        <v>0</v>
      </c>
      <c r="J34" s="51">
        <f t="shared" ref="J34:J38" si="32">SUM(C34:I34)</f>
        <v>34025.419732269576</v>
      </c>
      <c r="K34" s="52">
        <f t="shared" ref="K34:K39" si="33">J34/J$39</f>
        <v>0.1668943895368214</v>
      </c>
      <c r="M34" s="1">
        <v>1662.2666854279198</v>
      </c>
      <c r="N34" s="8">
        <f>M34*2.204</f>
        <v>3663.6357746831354</v>
      </c>
    </row>
    <row r="35" spans="1:16" ht="18" customHeight="1">
      <c r="A35" s="41" t="s">
        <v>13</v>
      </c>
      <c r="B35" s="35">
        <v>3</v>
      </c>
      <c r="C35" s="51">
        <f>C26*$K26</f>
        <v>2952.5538489834712</v>
      </c>
      <c r="D35" s="51">
        <f>SUM('STORM-CSO'!J13:J15)*$K26</f>
        <v>3871.3841394999999</v>
      </c>
      <c r="E35" s="51">
        <f t="shared" ref="E35:I35" si="34">E26*$K26</f>
        <v>12150.211200000002</v>
      </c>
      <c r="F35" s="51">
        <f t="shared" si="34"/>
        <v>256.111358</v>
      </c>
      <c r="G35" s="51">
        <f t="shared" si="34"/>
        <v>4513.8188705234161</v>
      </c>
      <c r="H35" s="51">
        <f t="shared" si="34"/>
        <v>5851.9091814567309</v>
      </c>
      <c r="I35" s="51">
        <f t="shared" si="34"/>
        <v>0</v>
      </c>
      <c r="J35" s="51">
        <f t="shared" si="32"/>
        <v>29595.98859846362</v>
      </c>
      <c r="K35" s="52">
        <f t="shared" si="33"/>
        <v>0.14516806813098032</v>
      </c>
      <c r="M35" s="1">
        <v>5512.7970319174192</v>
      </c>
      <c r="N35" s="8">
        <f t="shared" ref="N35:N38" si="35">M35*2.204</f>
        <v>12150.204658345992</v>
      </c>
    </row>
    <row r="36" spans="1:16" ht="18" customHeight="1">
      <c r="A36" s="41" t="s">
        <v>14</v>
      </c>
      <c r="B36" s="35">
        <v>4</v>
      </c>
      <c r="C36" s="51">
        <f t="shared" ref="C36:I36" si="36">C27*$K27</f>
        <v>3188.5449714049587</v>
      </c>
      <c r="D36" s="51">
        <f>SUM('STORM-CSO'!L16:L17)*$K27</f>
        <v>2557.1699765000003</v>
      </c>
      <c r="E36" s="51">
        <f t="shared" si="36"/>
        <v>3125.7128000000002</v>
      </c>
      <c r="F36" s="51">
        <f t="shared" si="36"/>
        <v>63.724062000000004</v>
      </c>
      <c r="G36" s="51">
        <f t="shared" si="36"/>
        <v>1743.3126721763085</v>
      </c>
      <c r="H36" s="51">
        <f t="shared" si="36"/>
        <v>191.86587480186003</v>
      </c>
      <c r="I36" s="51">
        <f t="shared" si="36"/>
        <v>0</v>
      </c>
      <c r="J36" s="51">
        <f t="shared" si="32"/>
        <v>10870.330356883129</v>
      </c>
      <c r="K36" s="52">
        <f t="shared" si="33"/>
        <v>5.3318876394491913E-2</v>
      </c>
      <c r="M36" s="1">
        <v>1418.1575917636799</v>
      </c>
      <c r="N36" s="8">
        <f t="shared" si="35"/>
        <v>3125.6193322471509</v>
      </c>
    </row>
    <row r="37" spans="1:16" ht="18" customHeight="1">
      <c r="A37" s="41" t="s">
        <v>15</v>
      </c>
      <c r="B37" s="35">
        <v>5</v>
      </c>
      <c r="C37" s="51">
        <f t="shared" ref="C37:I37" si="37">C28*$K28</f>
        <v>2515.5522515702478</v>
      </c>
      <c r="D37" s="51">
        <f>SUM('STORM-CSO'!L18:L19)*$K28</f>
        <v>1465.7762645000003</v>
      </c>
      <c r="E37" s="51">
        <f t="shared" si="37"/>
        <v>76.919600000000003</v>
      </c>
      <c r="F37" s="51">
        <f t="shared" si="37"/>
        <v>0</v>
      </c>
      <c r="G37" s="51">
        <f t="shared" si="37"/>
        <v>479.2489669421488</v>
      </c>
      <c r="H37" s="51">
        <f t="shared" si="37"/>
        <v>143.89940610139502</v>
      </c>
      <c r="I37" s="51">
        <f t="shared" si="37"/>
        <v>0</v>
      </c>
      <c r="J37" s="51">
        <f t="shared" si="32"/>
        <v>4681.3964891137912</v>
      </c>
      <c r="K37" s="52">
        <f t="shared" si="33"/>
        <v>2.2962209294643449E-2</v>
      </c>
      <c r="M37" s="1">
        <v>34.872727666320003</v>
      </c>
      <c r="N37" s="8">
        <f t="shared" si="35"/>
        <v>76.8594917765693</v>
      </c>
    </row>
    <row r="38" spans="1:16" ht="18" customHeight="1">
      <c r="A38" s="41" t="s">
        <v>16</v>
      </c>
      <c r="B38" s="35">
        <v>6</v>
      </c>
      <c r="C38" s="51">
        <f t="shared" ref="C38:I38" si="38">C29*$K29</f>
        <v>3363.3469364462808</v>
      </c>
      <c r="D38" s="51">
        <f>SUM('STORM-CSO'!L20:L22)*$K29</f>
        <v>1775.6512514999995</v>
      </c>
      <c r="E38" s="51">
        <f t="shared" si="38"/>
        <v>2376.3528000000001</v>
      </c>
      <c r="F38" s="51">
        <f t="shared" si="38"/>
        <v>0</v>
      </c>
      <c r="G38" s="51">
        <f t="shared" si="38"/>
        <v>2182.0571625344355</v>
      </c>
      <c r="H38" s="51">
        <f t="shared" si="38"/>
        <v>143.89940610139502</v>
      </c>
      <c r="I38" s="51">
        <f t="shared" si="38"/>
        <v>93148</v>
      </c>
      <c r="J38" s="51">
        <f t="shared" si="32"/>
        <v>102989.30755658211</v>
      </c>
      <c r="K38" s="52">
        <f t="shared" si="33"/>
        <v>0.50516166291916054</v>
      </c>
      <c r="M38" s="1">
        <v>1078.1484970170598</v>
      </c>
      <c r="N38" s="8">
        <f t="shared" si="35"/>
        <v>2376.2392874255997</v>
      </c>
    </row>
    <row r="39" spans="1:16" ht="18" customHeight="1">
      <c r="A39" s="42" t="s">
        <v>36</v>
      </c>
      <c r="B39" s="16"/>
      <c r="C39" s="6">
        <f>SUM(C33:C38)</f>
        <v>16690.163739333882</v>
      </c>
      <c r="D39" s="6">
        <f t="shared" ref="D39" si="39">SUM(D33:D38)</f>
        <v>16893.172274</v>
      </c>
      <c r="E39" s="6">
        <f t="shared" ref="E39" si="40">SUM(E33:E38)</f>
        <v>21392.905600000006</v>
      </c>
      <c r="F39" s="6">
        <f t="shared" ref="F39" si="41">SUM(F33:F38)</f>
        <v>8927.7612759999993</v>
      </c>
      <c r="G39" s="6">
        <f t="shared" ref="G39" si="42">SUM(G33:G38)</f>
        <v>12631.456037649219</v>
      </c>
      <c r="H39" s="6">
        <f t="shared" ref="H39" si="43">SUM(H33:H38)</f>
        <v>34190.498889691458</v>
      </c>
      <c r="I39" s="6">
        <f t="shared" ref="I39:J39" si="44">SUM(I33:I38)</f>
        <v>93148</v>
      </c>
      <c r="J39" s="6">
        <f t="shared" si="44"/>
        <v>203873.95781667455</v>
      </c>
      <c r="K39" s="52">
        <f t="shared" si="33"/>
        <v>1</v>
      </c>
    </row>
    <row r="40" spans="1:16" ht="18" customHeight="1">
      <c r="A40" s="53" t="s">
        <v>59</v>
      </c>
      <c r="C40" s="54">
        <f>C39/$J39</f>
        <v>8.186510880581345E-2</v>
      </c>
      <c r="D40" s="54">
        <f t="shared" ref="D40:J40" si="45">D39/$J39</f>
        <v>8.2860863912744095E-2</v>
      </c>
      <c r="E40" s="54">
        <f t="shared" si="45"/>
        <v>0.10493201696332749</v>
      </c>
      <c r="F40" s="54">
        <f t="shared" si="45"/>
        <v>4.379059185199087E-2</v>
      </c>
      <c r="G40" s="54">
        <f t="shared" si="45"/>
        <v>6.1957182628531435E-2</v>
      </c>
      <c r="H40" s="54">
        <f t="shared" si="45"/>
        <v>0.16770410137638025</v>
      </c>
      <c r="I40" s="54">
        <f t="shared" si="45"/>
        <v>0.45689013446121252</v>
      </c>
      <c r="J40" s="54">
        <f t="shared" si="45"/>
        <v>1</v>
      </c>
    </row>
    <row r="44" spans="1:16" ht="18" customHeight="1">
      <c r="A44" t="s">
        <v>124</v>
      </c>
      <c r="B44" s="5" t="s">
        <v>125</v>
      </c>
      <c r="N44" s="86" t="s">
        <v>126</v>
      </c>
      <c r="P44" s="86"/>
    </row>
    <row r="45" spans="1:16" ht="18" customHeight="1">
      <c r="A45">
        <v>166.7</v>
      </c>
      <c r="B45" s="85">
        <v>0.17302812364469913</v>
      </c>
      <c r="N45" s="45">
        <v>0.85</v>
      </c>
      <c r="O45" s="54">
        <v>9.2470286883225103E-2</v>
      </c>
    </row>
    <row r="46" spans="1:16" ht="18" customHeight="1">
      <c r="A46">
        <v>134.4</v>
      </c>
      <c r="B46" s="85">
        <v>0.144341181925326</v>
      </c>
      <c r="N46" s="45">
        <v>0.7</v>
      </c>
      <c r="O46" s="54">
        <v>0.11272188477882591</v>
      </c>
    </row>
    <row r="47" spans="1:16" ht="18" customHeight="1">
      <c r="A47">
        <v>142</v>
      </c>
      <c r="B47" s="85">
        <v>0.15126865461895123</v>
      </c>
      <c r="N47" s="45">
        <v>0.95</v>
      </c>
      <c r="O47" s="54">
        <v>7.8447696239348538E-2</v>
      </c>
    </row>
    <row r="48" spans="1:16" ht="18" customHeight="1">
      <c r="A48">
        <v>191.4</v>
      </c>
      <c r="B48" s="85">
        <v>0.19369975926785082</v>
      </c>
      <c r="N48" s="45">
        <v>0.8</v>
      </c>
      <c r="O48" s="54">
        <v>9.9322761865425727E-2</v>
      </c>
    </row>
    <row r="49" spans="2:15" ht="18" customHeight="1">
      <c r="B49" s="85"/>
      <c r="N49" s="45">
        <v>0.99</v>
      </c>
      <c r="O49" s="54">
        <v>7.2716571077629258E-2</v>
      </c>
    </row>
    <row r="50" spans="2:15" ht="18" customHeight="1">
      <c r="B50" s="85"/>
      <c r="N50" s="45">
        <f t="shared" ref="N50" si="46">J$19</f>
        <v>0.9</v>
      </c>
      <c r="O50" s="54">
        <f t="shared" ref="O50" si="47">D$40</f>
        <v>8.2860863912744095E-2</v>
      </c>
    </row>
    <row r="51" spans="2:15" ht="18" customHeight="1">
      <c r="B51" s="85"/>
      <c r="O51" s="54"/>
    </row>
    <row r="52" spans="2:15" ht="18" customHeight="1">
      <c r="B52" s="85"/>
    </row>
  </sheetData>
  <phoneticPr fontId="2" type="noConversion"/>
  <pageMargins left="0.4" right="0.34" top="0.28000000000000003" bottom="0.21" header="0.5" footer="0.5"/>
  <pageSetup paperSize="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3:N36"/>
  <sheetViews>
    <sheetView topLeftCell="C1" workbookViewId="0">
      <selection activeCell="I23" sqref="I23"/>
    </sheetView>
  </sheetViews>
  <sheetFormatPr defaultRowHeight="12.75"/>
  <cols>
    <col min="1" max="1" width="12.85546875" customWidth="1"/>
    <col min="2" max="2" width="5.42578125" customWidth="1"/>
    <col min="3" max="3" width="26.5703125" style="56" customWidth="1"/>
    <col min="4" max="4" width="10.140625" customWidth="1"/>
    <col min="5" max="5" width="9.5703125" customWidth="1"/>
    <col min="6" max="7" width="14.140625" customWidth="1"/>
    <col min="8" max="8" width="11.7109375" customWidth="1"/>
    <col min="9" max="10" width="11.28515625" customWidth="1"/>
    <col min="11" max="11" width="7.5703125" style="58" customWidth="1"/>
    <col min="12" max="12" width="12.140625" customWidth="1"/>
    <col min="14" max="14" width="9.140625" style="6"/>
  </cols>
  <sheetData>
    <row r="3" spans="1:14">
      <c r="C3" s="24" t="s">
        <v>0</v>
      </c>
      <c r="D3" s="43">
        <f>summary_loads!H2</f>
        <v>0</v>
      </c>
      <c r="E3" s="43"/>
      <c r="F3" s="43">
        <f>summary_loads!J2</f>
        <v>0</v>
      </c>
      <c r="G3" s="43">
        <f>summary_loads!K2</f>
        <v>0</v>
      </c>
      <c r="H3" s="43"/>
    </row>
    <row r="4" spans="1:14">
      <c r="C4" s="24" t="s">
        <v>5</v>
      </c>
      <c r="D4" s="43">
        <f>summary_loads!H3</f>
        <v>14.67</v>
      </c>
      <c r="E4" s="43"/>
      <c r="F4" s="43">
        <f>summary_loads!J3</f>
        <v>7.34</v>
      </c>
      <c r="G4" s="43">
        <f>summary_loads!K3</f>
        <v>14.67</v>
      </c>
      <c r="H4" s="43"/>
    </row>
    <row r="5" spans="1:14" s="70" customFormat="1" ht="51.75">
      <c r="A5" s="67" t="s">
        <v>61</v>
      </c>
      <c r="B5" s="61" t="s">
        <v>77</v>
      </c>
      <c r="C5" s="67" t="s">
        <v>60</v>
      </c>
      <c r="D5" s="63" t="s">
        <v>68</v>
      </c>
      <c r="E5" s="63" t="s">
        <v>69</v>
      </c>
      <c r="F5" s="65" t="s">
        <v>64</v>
      </c>
      <c r="G5" s="65" t="s">
        <v>65</v>
      </c>
      <c r="H5" s="71" t="s">
        <v>79</v>
      </c>
      <c r="I5" s="61" t="s">
        <v>67</v>
      </c>
      <c r="J5" s="71" t="s">
        <v>80</v>
      </c>
      <c r="K5" s="68" t="s">
        <v>78</v>
      </c>
      <c r="L5" s="66" t="s">
        <v>66</v>
      </c>
      <c r="M5" s="69"/>
      <c r="N5"/>
    </row>
    <row r="6" spans="1:14">
      <c r="A6" s="64" t="s">
        <v>70</v>
      </c>
      <c r="B6" s="55">
        <v>1</v>
      </c>
      <c r="C6" s="57" t="s">
        <v>11</v>
      </c>
      <c r="D6" s="60">
        <v>27.681999999999999</v>
      </c>
      <c r="E6" s="60">
        <v>60.183999999999997</v>
      </c>
      <c r="F6" s="60">
        <f>E6*D$26</f>
        <v>30.091999999999999</v>
      </c>
      <c r="G6" s="60">
        <f>E6*(1-D$26)</f>
        <v>30.091999999999999</v>
      </c>
      <c r="H6" s="62">
        <f>(D6*D$4+F6*F$4+G6*G$4)</f>
        <v>1068.41986</v>
      </c>
      <c r="I6" s="59"/>
      <c r="J6" s="49">
        <f>H6*(1-I6)</f>
        <v>1068.41986</v>
      </c>
      <c r="K6" s="59">
        <v>0.8</v>
      </c>
      <c r="L6" s="62">
        <f>J6*K6</f>
        <v>854.73588800000005</v>
      </c>
      <c r="M6" s="5"/>
      <c r="N6"/>
    </row>
    <row r="7" spans="1:14">
      <c r="A7" s="1" t="s">
        <v>75</v>
      </c>
      <c r="B7" s="55">
        <v>1</v>
      </c>
      <c r="C7" s="57" t="s">
        <v>11</v>
      </c>
      <c r="D7" s="60">
        <v>38.517000000000003</v>
      </c>
      <c r="E7" s="60">
        <v>76.656000000000006</v>
      </c>
      <c r="F7" s="60">
        <f t="shared" ref="F7:F22" si="0">E7*D$26</f>
        <v>38.328000000000003</v>
      </c>
      <c r="G7" s="60">
        <f t="shared" ref="G7:G23" si="1">E7*(1-D$26)</f>
        <v>38.328000000000003</v>
      </c>
      <c r="H7" s="62">
        <f t="shared" ref="H7:H22" si="2">(D7*D$4+F7*F$4+G7*G$4)</f>
        <v>1408.6436700000002</v>
      </c>
      <c r="I7" s="59"/>
      <c r="J7" s="49">
        <f t="shared" ref="J7:J22" si="3">H7*(1-I7)</f>
        <v>1408.6436700000002</v>
      </c>
      <c r="K7" s="59">
        <v>0.8</v>
      </c>
      <c r="L7" s="62">
        <f t="shared" ref="L7:L22" si="4">J7*K7</f>
        <v>1126.9149360000001</v>
      </c>
      <c r="M7" s="5"/>
      <c r="N7"/>
    </row>
    <row r="8" spans="1:14">
      <c r="A8" s="1" t="s">
        <v>76</v>
      </c>
      <c r="B8" s="55">
        <v>1</v>
      </c>
      <c r="C8" s="57" t="s">
        <v>11</v>
      </c>
      <c r="D8" s="60">
        <v>3.0670000000000002</v>
      </c>
      <c r="E8" s="60">
        <v>1.4E-2</v>
      </c>
      <c r="F8" s="60">
        <f t="shared" si="0"/>
        <v>7.0000000000000001E-3</v>
      </c>
      <c r="G8" s="60">
        <f t="shared" si="1"/>
        <v>7.0000000000000001E-3</v>
      </c>
      <c r="H8" s="62">
        <f t="shared" si="2"/>
        <v>45.146960000000007</v>
      </c>
      <c r="I8" s="59"/>
      <c r="J8" s="49">
        <f t="shared" si="3"/>
        <v>45.146960000000007</v>
      </c>
      <c r="K8" s="59">
        <v>0.8</v>
      </c>
      <c r="L8" s="62">
        <f t="shared" si="4"/>
        <v>36.117568000000006</v>
      </c>
      <c r="M8" s="5"/>
      <c r="N8"/>
    </row>
    <row r="9" spans="1:14">
      <c r="A9" s="64" t="s">
        <v>71</v>
      </c>
      <c r="B9" s="55">
        <v>1</v>
      </c>
      <c r="C9" s="57" t="s">
        <v>11</v>
      </c>
      <c r="D9" s="60">
        <v>8.3019999999999996</v>
      </c>
      <c r="E9" s="60">
        <v>13.282</v>
      </c>
      <c r="F9" s="60">
        <f t="shared" si="0"/>
        <v>6.641</v>
      </c>
      <c r="G9" s="60">
        <f t="shared" si="1"/>
        <v>6.641</v>
      </c>
      <c r="H9" s="62">
        <f t="shared" si="2"/>
        <v>267.95875000000001</v>
      </c>
      <c r="I9" s="59"/>
      <c r="J9" s="49">
        <f t="shared" si="3"/>
        <v>267.95875000000001</v>
      </c>
      <c r="K9" s="59">
        <v>0.8</v>
      </c>
      <c r="L9" s="62">
        <f t="shared" si="4"/>
        <v>214.36700000000002</v>
      </c>
      <c r="M9" s="5"/>
      <c r="N9"/>
    </row>
    <row r="10" spans="1:14">
      <c r="A10" s="64" t="s">
        <v>70</v>
      </c>
      <c r="B10" s="55">
        <v>2</v>
      </c>
      <c r="C10" s="57" t="s">
        <v>12</v>
      </c>
      <c r="D10" s="60">
        <v>130.95699999999999</v>
      </c>
      <c r="E10" s="60">
        <v>322.16800000000001</v>
      </c>
      <c r="F10" s="60">
        <f t="shared" si="0"/>
        <v>161.084</v>
      </c>
      <c r="G10" s="60">
        <f t="shared" si="1"/>
        <v>161.084</v>
      </c>
      <c r="H10" s="62">
        <f t="shared" si="2"/>
        <v>5466.5980300000001</v>
      </c>
      <c r="I10" s="59"/>
      <c r="J10" s="49">
        <f t="shared" si="3"/>
        <v>5466.5980300000001</v>
      </c>
      <c r="K10" s="59">
        <v>0.8</v>
      </c>
      <c r="L10" s="62">
        <f t="shared" si="4"/>
        <v>4373.2784240000001</v>
      </c>
      <c r="M10" s="5"/>
      <c r="N10"/>
    </row>
    <row r="11" spans="1:14">
      <c r="A11" s="1" t="s">
        <v>75</v>
      </c>
      <c r="B11" s="55">
        <v>2</v>
      </c>
      <c r="C11" s="57" t="s">
        <v>12</v>
      </c>
      <c r="D11" s="60">
        <v>0.45600000000000002</v>
      </c>
      <c r="E11" s="60">
        <v>1.6279999999999999</v>
      </c>
      <c r="F11" s="60">
        <f t="shared" si="0"/>
        <v>0.81399999999999995</v>
      </c>
      <c r="G11" s="60">
        <f t="shared" si="1"/>
        <v>0.81399999999999995</v>
      </c>
      <c r="H11" s="62">
        <f t="shared" si="2"/>
        <v>24.60566</v>
      </c>
      <c r="I11" s="59"/>
      <c r="J11" s="49">
        <f t="shared" si="3"/>
        <v>24.60566</v>
      </c>
      <c r="K11" s="59">
        <v>0.8</v>
      </c>
      <c r="L11" s="62">
        <f t="shared" si="4"/>
        <v>19.684528</v>
      </c>
      <c r="M11" s="5"/>
      <c r="N11"/>
    </row>
    <row r="12" spans="1:14">
      <c r="A12" s="1" t="s">
        <v>72</v>
      </c>
      <c r="B12" s="55">
        <v>2</v>
      </c>
      <c r="C12" s="57" t="s">
        <v>12</v>
      </c>
      <c r="D12" s="60">
        <v>33.094000000000001</v>
      </c>
      <c r="E12" s="60">
        <v>91.753</v>
      </c>
      <c r="F12" s="60">
        <f t="shared" si="0"/>
        <v>45.8765</v>
      </c>
      <c r="G12" s="60">
        <f t="shared" si="1"/>
        <v>45.8765</v>
      </c>
      <c r="H12" s="62">
        <f t="shared" si="2"/>
        <v>1495.2307449999998</v>
      </c>
      <c r="I12" s="59">
        <v>0.5</v>
      </c>
      <c r="J12" s="49">
        <f t="shared" si="3"/>
        <v>747.61537249999992</v>
      </c>
      <c r="K12" s="59">
        <v>0.8</v>
      </c>
      <c r="L12" s="62">
        <f t="shared" si="4"/>
        <v>598.09229799999991</v>
      </c>
      <c r="M12" s="5"/>
      <c r="N12"/>
    </row>
    <row r="13" spans="1:14">
      <c r="A13" s="64" t="s">
        <v>70</v>
      </c>
      <c r="B13" s="55">
        <v>3</v>
      </c>
      <c r="C13" s="57" t="s">
        <v>13</v>
      </c>
      <c r="D13" s="60">
        <v>38.404000000000003</v>
      </c>
      <c r="E13" s="60">
        <v>76.200999999999993</v>
      </c>
      <c r="F13" s="60">
        <f t="shared" si="0"/>
        <v>38.100499999999997</v>
      </c>
      <c r="G13" s="60">
        <f t="shared" si="1"/>
        <v>38.100499999999997</v>
      </c>
      <c r="H13" s="62">
        <f t="shared" si="2"/>
        <v>1401.978685</v>
      </c>
      <c r="I13" s="59"/>
      <c r="J13" s="49">
        <f t="shared" si="3"/>
        <v>1401.978685</v>
      </c>
      <c r="K13" s="59">
        <v>1</v>
      </c>
      <c r="L13" s="62">
        <f t="shared" si="4"/>
        <v>1401.978685</v>
      </c>
      <c r="M13" s="5"/>
      <c r="N13"/>
    </row>
    <row r="14" spans="1:14">
      <c r="A14" s="1" t="s">
        <v>73</v>
      </c>
      <c r="B14" s="55">
        <v>3</v>
      </c>
      <c r="C14" s="57" t="s">
        <v>13</v>
      </c>
      <c r="D14" s="60">
        <v>39.692999999999998</v>
      </c>
      <c r="E14" s="60">
        <v>74.290999999999997</v>
      </c>
      <c r="F14" s="60">
        <f t="shared" si="0"/>
        <v>37.145499999999998</v>
      </c>
      <c r="G14" s="60">
        <f t="shared" si="1"/>
        <v>37.145499999999998</v>
      </c>
      <c r="H14" s="62">
        <f t="shared" si="2"/>
        <v>1399.8687649999999</v>
      </c>
      <c r="I14" s="59"/>
      <c r="J14" s="49">
        <f t="shared" si="3"/>
        <v>1399.8687649999999</v>
      </c>
      <c r="K14" s="59">
        <v>1</v>
      </c>
      <c r="L14" s="62">
        <f t="shared" si="4"/>
        <v>1399.8687649999999</v>
      </c>
      <c r="M14" s="5"/>
      <c r="N14"/>
    </row>
    <row r="15" spans="1:14">
      <c r="A15" s="1" t="s">
        <v>72</v>
      </c>
      <c r="B15" s="55">
        <v>3</v>
      </c>
      <c r="C15" s="57" t="s">
        <v>13</v>
      </c>
      <c r="D15" s="60">
        <v>222.32900000000001</v>
      </c>
      <c r="E15" s="60">
        <v>675.49300000000005</v>
      </c>
      <c r="F15" s="60">
        <f t="shared" si="0"/>
        <v>337.74650000000003</v>
      </c>
      <c r="G15" s="60">
        <f t="shared" si="1"/>
        <v>337.74650000000003</v>
      </c>
      <c r="H15" s="62">
        <f t="shared" si="2"/>
        <v>10695.366895000001</v>
      </c>
      <c r="I15" s="59">
        <f>I22</f>
        <v>0.9</v>
      </c>
      <c r="J15" s="49">
        <f t="shared" si="3"/>
        <v>1069.5366895</v>
      </c>
      <c r="K15" s="59">
        <v>1</v>
      </c>
      <c r="L15" s="62">
        <f t="shared" si="4"/>
        <v>1069.5366895</v>
      </c>
      <c r="M15" s="5"/>
      <c r="N15"/>
    </row>
    <row r="16" spans="1:14">
      <c r="A16" s="1" t="s">
        <v>73</v>
      </c>
      <c r="B16" s="55">
        <v>4</v>
      </c>
      <c r="C16" s="57" t="s">
        <v>14</v>
      </c>
      <c r="D16" s="60">
        <v>52.874000000000002</v>
      </c>
      <c r="E16" s="60">
        <v>103.93</v>
      </c>
      <c r="F16" s="60">
        <f t="shared" si="0"/>
        <v>51.965000000000003</v>
      </c>
      <c r="G16" s="60">
        <f t="shared" si="1"/>
        <v>51.965000000000003</v>
      </c>
      <c r="H16" s="62">
        <f t="shared" si="2"/>
        <v>1919.4112300000002</v>
      </c>
      <c r="I16" s="59"/>
      <c r="J16" s="49">
        <f t="shared" si="3"/>
        <v>1919.4112300000002</v>
      </c>
      <c r="K16" s="59">
        <v>1</v>
      </c>
      <c r="L16" s="62">
        <f t="shared" si="4"/>
        <v>1919.4112300000002</v>
      </c>
      <c r="M16" s="5"/>
      <c r="N16"/>
    </row>
    <row r="17" spans="1:14">
      <c r="A17" s="1" t="s">
        <v>72</v>
      </c>
      <c r="B17" s="55">
        <v>4</v>
      </c>
      <c r="C17" s="57" t="s">
        <v>14</v>
      </c>
      <c r="D17" s="60">
        <v>137.79900000000001</v>
      </c>
      <c r="E17" s="60">
        <v>395.827</v>
      </c>
      <c r="F17" s="60">
        <f t="shared" si="0"/>
        <v>197.9135</v>
      </c>
      <c r="G17" s="60">
        <f t="shared" si="1"/>
        <v>197.9135</v>
      </c>
      <c r="H17" s="62">
        <f t="shared" si="2"/>
        <v>6377.5874650000005</v>
      </c>
      <c r="I17" s="59">
        <f>I22</f>
        <v>0.9</v>
      </c>
      <c r="J17" s="49">
        <f t="shared" si="3"/>
        <v>637.75874649999992</v>
      </c>
      <c r="K17" s="59">
        <v>1</v>
      </c>
      <c r="L17" s="62">
        <f t="shared" si="4"/>
        <v>637.75874649999992</v>
      </c>
      <c r="M17" s="5"/>
      <c r="N17"/>
    </row>
    <row r="18" spans="1:14">
      <c r="A18" s="1" t="s">
        <v>73</v>
      </c>
      <c r="B18" s="55">
        <v>5</v>
      </c>
      <c r="C18" s="57" t="s">
        <v>15</v>
      </c>
      <c r="D18" s="60">
        <v>25.334</v>
      </c>
      <c r="E18" s="60">
        <v>69.147000000000006</v>
      </c>
      <c r="F18" s="60">
        <f t="shared" si="0"/>
        <v>34.573500000000003</v>
      </c>
      <c r="G18" s="60">
        <f t="shared" si="1"/>
        <v>34.573500000000003</v>
      </c>
      <c r="H18" s="62">
        <f t="shared" si="2"/>
        <v>1132.6125150000003</v>
      </c>
      <c r="I18" s="59"/>
      <c r="J18" s="49">
        <f t="shared" si="3"/>
        <v>1132.6125150000003</v>
      </c>
      <c r="K18" s="59">
        <v>1</v>
      </c>
      <c r="L18" s="62">
        <f t="shared" si="4"/>
        <v>1132.6125150000003</v>
      </c>
      <c r="M18" s="5"/>
      <c r="N18"/>
    </row>
    <row r="19" spans="1:14">
      <c r="A19" s="1" t="s">
        <v>72</v>
      </c>
      <c r="B19" s="55">
        <v>5</v>
      </c>
      <c r="C19" s="57" t="s">
        <v>15</v>
      </c>
      <c r="D19" s="60">
        <v>65.388999999999996</v>
      </c>
      <c r="E19" s="60">
        <v>215.57300000000001</v>
      </c>
      <c r="F19" s="60">
        <f t="shared" si="0"/>
        <v>107.7865</v>
      </c>
      <c r="G19" s="60">
        <f t="shared" si="1"/>
        <v>107.7865</v>
      </c>
      <c r="H19" s="62">
        <f t="shared" si="2"/>
        <v>3331.6374949999999</v>
      </c>
      <c r="I19" s="59">
        <f>I22</f>
        <v>0.9</v>
      </c>
      <c r="J19" s="49">
        <f t="shared" si="3"/>
        <v>333.16374949999994</v>
      </c>
      <c r="K19" s="59">
        <v>1</v>
      </c>
      <c r="L19" s="62">
        <f t="shared" si="4"/>
        <v>333.16374949999994</v>
      </c>
      <c r="M19" s="5"/>
      <c r="N19"/>
    </row>
    <row r="20" spans="1:14">
      <c r="A20" s="1" t="s">
        <v>74</v>
      </c>
      <c r="B20" s="55">
        <v>6</v>
      </c>
      <c r="C20" s="57" t="s">
        <v>16</v>
      </c>
      <c r="D20" s="60">
        <v>1.3160000000000001</v>
      </c>
      <c r="E20" s="60">
        <v>0</v>
      </c>
      <c r="F20" s="60">
        <f t="shared" si="0"/>
        <v>0</v>
      </c>
      <c r="G20" s="60">
        <f t="shared" si="1"/>
        <v>0</v>
      </c>
      <c r="H20" s="62">
        <f t="shared" si="2"/>
        <v>19.305720000000001</v>
      </c>
      <c r="I20" s="59"/>
      <c r="J20" s="49">
        <f t="shared" si="3"/>
        <v>19.305720000000001</v>
      </c>
      <c r="K20" s="59">
        <v>1</v>
      </c>
      <c r="L20" s="62">
        <f t="shared" si="4"/>
        <v>19.305720000000001</v>
      </c>
      <c r="M20" s="5"/>
      <c r="N20"/>
    </row>
    <row r="21" spans="1:14">
      <c r="A21" s="1" t="s">
        <v>73</v>
      </c>
      <c r="B21" s="55">
        <v>6</v>
      </c>
      <c r="C21" s="57" t="s">
        <v>16</v>
      </c>
      <c r="D21" s="60">
        <v>18.25</v>
      </c>
      <c r="E21" s="60">
        <v>45.436999999999998</v>
      </c>
      <c r="F21" s="60">
        <f t="shared" si="0"/>
        <v>22.718499999999999</v>
      </c>
      <c r="G21" s="60">
        <f t="shared" si="1"/>
        <v>22.718499999999999</v>
      </c>
      <c r="H21" s="62">
        <f t="shared" si="2"/>
        <v>767.76168499999994</v>
      </c>
      <c r="I21" s="59"/>
      <c r="J21" s="49">
        <f t="shared" si="3"/>
        <v>767.76168499999994</v>
      </c>
      <c r="K21" s="59">
        <v>1</v>
      </c>
      <c r="L21" s="62">
        <f t="shared" si="4"/>
        <v>767.76168499999994</v>
      </c>
      <c r="M21" s="5"/>
      <c r="N21"/>
    </row>
    <row r="22" spans="1:14">
      <c r="A22" s="1" t="s">
        <v>72</v>
      </c>
      <c r="B22" s="55">
        <v>6</v>
      </c>
      <c r="C22" s="57" t="s">
        <v>16</v>
      </c>
      <c r="D22" s="60">
        <v>233.523</v>
      </c>
      <c r="E22" s="60">
        <v>587.01099999999997</v>
      </c>
      <c r="F22" s="60">
        <f t="shared" si="0"/>
        <v>293.50549999999998</v>
      </c>
      <c r="G22" s="60">
        <f t="shared" si="1"/>
        <v>293.50549999999998</v>
      </c>
      <c r="H22" s="62">
        <f t="shared" si="2"/>
        <v>9885.8384649999989</v>
      </c>
      <c r="I22" s="59">
        <v>0.9</v>
      </c>
      <c r="J22" s="49">
        <f t="shared" si="3"/>
        <v>988.58384649999971</v>
      </c>
      <c r="K22" s="59">
        <v>1</v>
      </c>
      <c r="L22" s="62">
        <f t="shared" si="4"/>
        <v>988.58384649999971</v>
      </c>
      <c r="M22" s="5"/>
      <c r="N22"/>
    </row>
    <row r="23" spans="1:14">
      <c r="C23" t="s">
        <v>62</v>
      </c>
      <c r="D23" s="2">
        <f>SUM(D6:D22)</f>
        <v>1076.9859999999999</v>
      </c>
      <c r="E23" s="2">
        <f t="shared" ref="E23:L23" si="5">SUM(E6:E22)</f>
        <v>2808.5949999999998</v>
      </c>
      <c r="F23" s="2">
        <f t="shared" si="5"/>
        <v>1404.2974999999999</v>
      </c>
      <c r="G23" s="60">
        <f t="shared" si="1"/>
        <v>1404.2974999999999</v>
      </c>
      <c r="H23" s="62">
        <f t="shared" si="5"/>
        <v>46707.972594999999</v>
      </c>
      <c r="I23" s="62"/>
      <c r="J23" s="62">
        <f t="shared" si="5"/>
        <v>18698.969934499997</v>
      </c>
      <c r="K23" s="2"/>
      <c r="L23" s="62">
        <f t="shared" si="5"/>
        <v>16893.172273999997</v>
      </c>
    </row>
    <row r="24" spans="1:14">
      <c r="D24" s="6">
        <f>D23*D4</f>
        <v>15799.384619999999</v>
      </c>
      <c r="E24" s="6"/>
      <c r="F24" s="6">
        <f t="shared" ref="F24:H24" si="6">F23*F4</f>
        <v>10307.54365</v>
      </c>
      <c r="G24" s="6">
        <f t="shared" si="6"/>
        <v>20601.044324999999</v>
      </c>
      <c r="H24" s="6">
        <f t="shared" si="6"/>
        <v>0</v>
      </c>
    </row>
    <row r="26" spans="1:14">
      <c r="C26" s="56" t="s">
        <v>63</v>
      </c>
      <c r="D26">
        <v>0.5</v>
      </c>
      <c r="I26" s="5"/>
      <c r="J26" s="5"/>
    </row>
    <row r="27" spans="1:14">
      <c r="I27" s="5"/>
      <c r="J27" s="5"/>
    </row>
    <row r="28" spans="1:14">
      <c r="I28" s="5"/>
      <c r="J28" s="5"/>
    </row>
    <row r="29" spans="1:14">
      <c r="I29" s="5"/>
      <c r="J29" s="5"/>
    </row>
    <row r="30" spans="1:14">
      <c r="I30" s="5"/>
      <c r="J30" s="5"/>
    </row>
    <row r="31" spans="1:14">
      <c r="I31" s="5"/>
      <c r="J31" s="5"/>
    </row>
    <row r="32" spans="1:14">
      <c r="I32" s="5"/>
      <c r="J32" s="5"/>
    </row>
    <row r="33" spans="9:10">
      <c r="I33" s="5"/>
      <c r="J33" s="5"/>
    </row>
    <row r="34" spans="9:10">
      <c r="I34" s="5"/>
      <c r="J34" s="5"/>
    </row>
    <row r="35" spans="9:10">
      <c r="I35" s="5"/>
      <c r="J35" s="5"/>
    </row>
    <row r="36" spans="9:10">
      <c r="I36" s="5"/>
      <c r="J36" s="5"/>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H24"/>
  <sheetViews>
    <sheetView workbookViewId="0">
      <selection activeCell="E4" sqref="E4"/>
    </sheetView>
  </sheetViews>
  <sheetFormatPr defaultRowHeight="12.75"/>
  <cols>
    <col min="1" max="1" width="15.85546875" customWidth="1"/>
    <col min="2" max="2" width="10.5703125" style="69" customWidth="1"/>
    <col min="3" max="4" width="12.42578125" style="5" customWidth="1"/>
    <col min="5" max="5" width="45.85546875" style="81" customWidth="1"/>
    <col min="255" max="255" width="15.85546875" customWidth="1"/>
    <col min="256" max="256" width="10.5703125" customWidth="1"/>
    <col min="257" max="258" width="13.140625" customWidth="1"/>
    <col min="259" max="260" width="12.42578125" customWidth="1"/>
    <col min="261" max="261" width="45.85546875" customWidth="1"/>
    <col min="511" max="511" width="15.85546875" customWidth="1"/>
    <col min="512" max="512" width="10.5703125" customWidth="1"/>
    <col min="513" max="514" width="13.140625" customWidth="1"/>
    <col min="515" max="516" width="12.42578125" customWidth="1"/>
    <col min="517" max="517" width="45.85546875" customWidth="1"/>
    <col min="767" max="767" width="15.85546875" customWidth="1"/>
    <col min="768" max="768" width="10.5703125" customWidth="1"/>
    <col min="769" max="770" width="13.140625" customWidth="1"/>
    <col min="771" max="772" width="12.42578125" customWidth="1"/>
    <col min="773" max="773" width="45.85546875" customWidth="1"/>
    <col min="1023" max="1023" width="15.85546875" customWidth="1"/>
    <col min="1024" max="1024" width="10.5703125" customWidth="1"/>
    <col min="1025" max="1026" width="13.140625" customWidth="1"/>
    <col min="1027" max="1028" width="12.42578125" customWidth="1"/>
    <col min="1029" max="1029" width="45.85546875" customWidth="1"/>
    <col min="1279" max="1279" width="15.85546875" customWidth="1"/>
    <col min="1280" max="1280" width="10.5703125" customWidth="1"/>
    <col min="1281" max="1282" width="13.140625" customWidth="1"/>
    <col min="1283" max="1284" width="12.42578125" customWidth="1"/>
    <col min="1285" max="1285" width="45.85546875" customWidth="1"/>
    <col min="1535" max="1535" width="15.85546875" customWidth="1"/>
    <col min="1536" max="1536" width="10.5703125" customWidth="1"/>
    <col min="1537" max="1538" width="13.140625" customWidth="1"/>
    <col min="1539" max="1540" width="12.42578125" customWidth="1"/>
    <col min="1541" max="1541" width="45.85546875" customWidth="1"/>
    <col min="1791" max="1791" width="15.85546875" customWidth="1"/>
    <col min="1792" max="1792" width="10.5703125" customWidth="1"/>
    <col min="1793" max="1794" width="13.140625" customWidth="1"/>
    <col min="1795" max="1796" width="12.42578125" customWidth="1"/>
    <col min="1797" max="1797" width="45.85546875" customWidth="1"/>
    <col min="2047" max="2047" width="15.85546875" customWidth="1"/>
    <col min="2048" max="2048" width="10.5703125" customWidth="1"/>
    <col min="2049" max="2050" width="13.140625" customWidth="1"/>
    <col min="2051" max="2052" width="12.42578125" customWidth="1"/>
    <col min="2053" max="2053" width="45.85546875" customWidth="1"/>
    <col min="2303" max="2303" width="15.85546875" customWidth="1"/>
    <col min="2304" max="2304" width="10.5703125" customWidth="1"/>
    <col min="2305" max="2306" width="13.140625" customWidth="1"/>
    <col min="2307" max="2308" width="12.42578125" customWidth="1"/>
    <col min="2309" max="2309" width="45.85546875" customWidth="1"/>
    <col min="2559" max="2559" width="15.85546875" customWidth="1"/>
    <col min="2560" max="2560" width="10.5703125" customWidth="1"/>
    <col min="2561" max="2562" width="13.140625" customWidth="1"/>
    <col min="2563" max="2564" width="12.42578125" customWidth="1"/>
    <col min="2565" max="2565" width="45.85546875" customWidth="1"/>
    <col min="2815" max="2815" width="15.85546875" customWidth="1"/>
    <col min="2816" max="2816" width="10.5703125" customWidth="1"/>
    <col min="2817" max="2818" width="13.140625" customWidth="1"/>
    <col min="2819" max="2820" width="12.42578125" customWidth="1"/>
    <col min="2821" max="2821" width="45.85546875" customWidth="1"/>
    <col min="3071" max="3071" width="15.85546875" customWidth="1"/>
    <col min="3072" max="3072" width="10.5703125" customWidth="1"/>
    <col min="3073" max="3074" width="13.140625" customWidth="1"/>
    <col min="3075" max="3076" width="12.42578125" customWidth="1"/>
    <col min="3077" max="3077" width="45.85546875" customWidth="1"/>
    <col min="3327" max="3327" width="15.85546875" customWidth="1"/>
    <col min="3328" max="3328" width="10.5703125" customWidth="1"/>
    <col min="3329" max="3330" width="13.140625" customWidth="1"/>
    <col min="3331" max="3332" width="12.42578125" customWidth="1"/>
    <col min="3333" max="3333" width="45.85546875" customWidth="1"/>
    <col min="3583" max="3583" width="15.85546875" customWidth="1"/>
    <col min="3584" max="3584" width="10.5703125" customWidth="1"/>
    <col min="3585" max="3586" width="13.140625" customWidth="1"/>
    <col min="3587" max="3588" width="12.42578125" customWidth="1"/>
    <col min="3589" max="3589" width="45.85546875" customWidth="1"/>
    <col min="3839" max="3839" width="15.85546875" customWidth="1"/>
    <col min="3840" max="3840" width="10.5703125" customWidth="1"/>
    <col min="3841" max="3842" width="13.140625" customWidth="1"/>
    <col min="3843" max="3844" width="12.42578125" customWidth="1"/>
    <col min="3845" max="3845" width="45.85546875" customWidth="1"/>
    <col min="4095" max="4095" width="15.85546875" customWidth="1"/>
    <col min="4096" max="4096" width="10.5703125" customWidth="1"/>
    <col min="4097" max="4098" width="13.140625" customWidth="1"/>
    <col min="4099" max="4100" width="12.42578125" customWidth="1"/>
    <col min="4101" max="4101" width="45.85546875" customWidth="1"/>
    <col min="4351" max="4351" width="15.85546875" customWidth="1"/>
    <col min="4352" max="4352" width="10.5703125" customWidth="1"/>
    <col min="4353" max="4354" width="13.140625" customWidth="1"/>
    <col min="4355" max="4356" width="12.42578125" customWidth="1"/>
    <col min="4357" max="4357" width="45.85546875" customWidth="1"/>
    <col min="4607" max="4607" width="15.85546875" customWidth="1"/>
    <col min="4608" max="4608" width="10.5703125" customWidth="1"/>
    <col min="4609" max="4610" width="13.140625" customWidth="1"/>
    <col min="4611" max="4612" width="12.42578125" customWidth="1"/>
    <col min="4613" max="4613" width="45.85546875" customWidth="1"/>
    <col min="4863" max="4863" width="15.85546875" customWidth="1"/>
    <col min="4864" max="4864" width="10.5703125" customWidth="1"/>
    <col min="4865" max="4866" width="13.140625" customWidth="1"/>
    <col min="4867" max="4868" width="12.42578125" customWidth="1"/>
    <col min="4869" max="4869" width="45.85546875" customWidth="1"/>
    <col min="5119" max="5119" width="15.85546875" customWidth="1"/>
    <col min="5120" max="5120" width="10.5703125" customWidth="1"/>
    <col min="5121" max="5122" width="13.140625" customWidth="1"/>
    <col min="5123" max="5124" width="12.42578125" customWidth="1"/>
    <col min="5125" max="5125" width="45.85546875" customWidth="1"/>
    <col min="5375" max="5375" width="15.85546875" customWidth="1"/>
    <col min="5376" max="5376" width="10.5703125" customWidth="1"/>
    <col min="5377" max="5378" width="13.140625" customWidth="1"/>
    <col min="5379" max="5380" width="12.42578125" customWidth="1"/>
    <col min="5381" max="5381" width="45.85546875" customWidth="1"/>
    <col min="5631" max="5631" width="15.85546875" customWidth="1"/>
    <col min="5632" max="5632" width="10.5703125" customWidth="1"/>
    <col min="5633" max="5634" width="13.140625" customWidth="1"/>
    <col min="5635" max="5636" width="12.42578125" customWidth="1"/>
    <col min="5637" max="5637" width="45.85546875" customWidth="1"/>
    <col min="5887" max="5887" width="15.85546875" customWidth="1"/>
    <col min="5888" max="5888" width="10.5703125" customWidth="1"/>
    <col min="5889" max="5890" width="13.140625" customWidth="1"/>
    <col min="5891" max="5892" width="12.42578125" customWidth="1"/>
    <col min="5893" max="5893" width="45.85546875" customWidth="1"/>
    <col min="6143" max="6143" width="15.85546875" customWidth="1"/>
    <col min="6144" max="6144" width="10.5703125" customWidth="1"/>
    <col min="6145" max="6146" width="13.140625" customWidth="1"/>
    <col min="6147" max="6148" width="12.42578125" customWidth="1"/>
    <col min="6149" max="6149" width="45.85546875" customWidth="1"/>
    <col min="6399" max="6399" width="15.85546875" customWidth="1"/>
    <col min="6400" max="6400" width="10.5703125" customWidth="1"/>
    <col min="6401" max="6402" width="13.140625" customWidth="1"/>
    <col min="6403" max="6404" width="12.42578125" customWidth="1"/>
    <col min="6405" max="6405" width="45.85546875" customWidth="1"/>
    <col min="6655" max="6655" width="15.85546875" customWidth="1"/>
    <col min="6656" max="6656" width="10.5703125" customWidth="1"/>
    <col min="6657" max="6658" width="13.140625" customWidth="1"/>
    <col min="6659" max="6660" width="12.42578125" customWidth="1"/>
    <col min="6661" max="6661" width="45.85546875" customWidth="1"/>
    <col min="6911" max="6911" width="15.85546875" customWidth="1"/>
    <col min="6912" max="6912" width="10.5703125" customWidth="1"/>
    <col min="6913" max="6914" width="13.140625" customWidth="1"/>
    <col min="6915" max="6916" width="12.42578125" customWidth="1"/>
    <col min="6917" max="6917" width="45.85546875" customWidth="1"/>
    <col min="7167" max="7167" width="15.85546875" customWidth="1"/>
    <col min="7168" max="7168" width="10.5703125" customWidth="1"/>
    <col min="7169" max="7170" width="13.140625" customWidth="1"/>
    <col min="7171" max="7172" width="12.42578125" customWidth="1"/>
    <col min="7173" max="7173" width="45.85546875" customWidth="1"/>
    <col min="7423" max="7423" width="15.85546875" customWidth="1"/>
    <col min="7424" max="7424" width="10.5703125" customWidth="1"/>
    <col min="7425" max="7426" width="13.140625" customWidth="1"/>
    <col min="7427" max="7428" width="12.42578125" customWidth="1"/>
    <col min="7429" max="7429" width="45.85546875" customWidth="1"/>
    <col min="7679" max="7679" width="15.85546875" customWidth="1"/>
    <col min="7680" max="7680" width="10.5703125" customWidth="1"/>
    <col min="7681" max="7682" width="13.140625" customWidth="1"/>
    <col min="7683" max="7684" width="12.42578125" customWidth="1"/>
    <col min="7685" max="7685" width="45.85546875" customWidth="1"/>
    <col min="7935" max="7935" width="15.85546875" customWidth="1"/>
    <col min="7936" max="7936" width="10.5703125" customWidth="1"/>
    <col min="7937" max="7938" width="13.140625" customWidth="1"/>
    <col min="7939" max="7940" width="12.42578125" customWidth="1"/>
    <col min="7941" max="7941" width="45.85546875" customWidth="1"/>
    <col min="8191" max="8191" width="15.85546875" customWidth="1"/>
    <col min="8192" max="8192" width="10.5703125" customWidth="1"/>
    <col min="8193" max="8194" width="13.140625" customWidth="1"/>
    <col min="8195" max="8196" width="12.42578125" customWidth="1"/>
    <col min="8197" max="8197" width="45.85546875" customWidth="1"/>
    <col min="8447" max="8447" width="15.85546875" customWidth="1"/>
    <col min="8448" max="8448" width="10.5703125" customWidth="1"/>
    <col min="8449" max="8450" width="13.140625" customWidth="1"/>
    <col min="8451" max="8452" width="12.42578125" customWidth="1"/>
    <col min="8453" max="8453" width="45.85546875" customWidth="1"/>
    <col min="8703" max="8703" width="15.85546875" customWidth="1"/>
    <col min="8704" max="8704" width="10.5703125" customWidth="1"/>
    <col min="8705" max="8706" width="13.140625" customWidth="1"/>
    <col min="8707" max="8708" width="12.42578125" customWidth="1"/>
    <col min="8709" max="8709" width="45.85546875" customWidth="1"/>
    <col min="8959" max="8959" width="15.85546875" customWidth="1"/>
    <col min="8960" max="8960" width="10.5703125" customWidth="1"/>
    <col min="8961" max="8962" width="13.140625" customWidth="1"/>
    <col min="8963" max="8964" width="12.42578125" customWidth="1"/>
    <col min="8965" max="8965" width="45.85546875" customWidth="1"/>
    <col min="9215" max="9215" width="15.85546875" customWidth="1"/>
    <col min="9216" max="9216" width="10.5703125" customWidth="1"/>
    <col min="9217" max="9218" width="13.140625" customWidth="1"/>
    <col min="9219" max="9220" width="12.42578125" customWidth="1"/>
    <col min="9221" max="9221" width="45.85546875" customWidth="1"/>
    <col min="9471" max="9471" width="15.85546875" customWidth="1"/>
    <col min="9472" max="9472" width="10.5703125" customWidth="1"/>
    <col min="9473" max="9474" width="13.140625" customWidth="1"/>
    <col min="9475" max="9476" width="12.42578125" customWidth="1"/>
    <col min="9477" max="9477" width="45.85546875" customWidth="1"/>
    <col min="9727" max="9727" width="15.85546875" customWidth="1"/>
    <col min="9728" max="9728" width="10.5703125" customWidth="1"/>
    <col min="9729" max="9730" width="13.140625" customWidth="1"/>
    <col min="9731" max="9732" width="12.42578125" customWidth="1"/>
    <col min="9733" max="9733" width="45.85546875" customWidth="1"/>
    <col min="9983" max="9983" width="15.85546875" customWidth="1"/>
    <col min="9984" max="9984" width="10.5703125" customWidth="1"/>
    <col min="9985" max="9986" width="13.140625" customWidth="1"/>
    <col min="9987" max="9988" width="12.42578125" customWidth="1"/>
    <col min="9989" max="9989" width="45.85546875" customWidth="1"/>
    <col min="10239" max="10239" width="15.85546875" customWidth="1"/>
    <col min="10240" max="10240" width="10.5703125" customWidth="1"/>
    <col min="10241" max="10242" width="13.140625" customWidth="1"/>
    <col min="10243" max="10244" width="12.42578125" customWidth="1"/>
    <col min="10245" max="10245" width="45.85546875" customWidth="1"/>
    <col min="10495" max="10495" width="15.85546875" customWidth="1"/>
    <col min="10496" max="10496" width="10.5703125" customWidth="1"/>
    <col min="10497" max="10498" width="13.140625" customWidth="1"/>
    <col min="10499" max="10500" width="12.42578125" customWidth="1"/>
    <col min="10501" max="10501" width="45.85546875" customWidth="1"/>
    <col min="10751" max="10751" width="15.85546875" customWidth="1"/>
    <col min="10752" max="10752" width="10.5703125" customWidth="1"/>
    <col min="10753" max="10754" width="13.140625" customWidth="1"/>
    <col min="10755" max="10756" width="12.42578125" customWidth="1"/>
    <col min="10757" max="10757" width="45.85546875" customWidth="1"/>
    <col min="11007" max="11007" width="15.85546875" customWidth="1"/>
    <col min="11008" max="11008" width="10.5703125" customWidth="1"/>
    <col min="11009" max="11010" width="13.140625" customWidth="1"/>
    <col min="11011" max="11012" width="12.42578125" customWidth="1"/>
    <col min="11013" max="11013" width="45.85546875" customWidth="1"/>
    <col min="11263" max="11263" width="15.85546875" customWidth="1"/>
    <col min="11264" max="11264" width="10.5703125" customWidth="1"/>
    <col min="11265" max="11266" width="13.140625" customWidth="1"/>
    <col min="11267" max="11268" width="12.42578125" customWidth="1"/>
    <col min="11269" max="11269" width="45.85546875" customWidth="1"/>
    <col min="11519" max="11519" width="15.85546875" customWidth="1"/>
    <col min="11520" max="11520" width="10.5703125" customWidth="1"/>
    <col min="11521" max="11522" width="13.140625" customWidth="1"/>
    <col min="11523" max="11524" width="12.42578125" customWidth="1"/>
    <col min="11525" max="11525" width="45.85546875" customWidth="1"/>
    <col min="11775" max="11775" width="15.85546875" customWidth="1"/>
    <col min="11776" max="11776" width="10.5703125" customWidth="1"/>
    <col min="11777" max="11778" width="13.140625" customWidth="1"/>
    <col min="11779" max="11780" width="12.42578125" customWidth="1"/>
    <col min="11781" max="11781" width="45.85546875" customWidth="1"/>
    <col min="12031" max="12031" width="15.85546875" customWidth="1"/>
    <col min="12032" max="12032" width="10.5703125" customWidth="1"/>
    <col min="12033" max="12034" width="13.140625" customWidth="1"/>
    <col min="12035" max="12036" width="12.42578125" customWidth="1"/>
    <col min="12037" max="12037" width="45.85546875" customWidth="1"/>
    <col min="12287" max="12287" width="15.85546875" customWidth="1"/>
    <col min="12288" max="12288" width="10.5703125" customWidth="1"/>
    <col min="12289" max="12290" width="13.140625" customWidth="1"/>
    <col min="12291" max="12292" width="12.42578125" customWidth="1"/>
    <col min="12293" max="12293" width="45.85546875" customWidth="1"/>
    <col min="12543" max="12543" width="15.85546875" customWidth="1"/>
    <col min="12544" max="12544" width="10.5703125" customWidth="1"/>
    <col min="12545" max="12546" width="13.140625" customWidth="1"/>
    <col min="12547" max="12548" width="12.42578125" customWidth="1"/>
    <col min="12549" max="12549" width="45.85546875" customWidth="1"/>
    <col min="12799" max="12799" width="15.85546875" customWidth="1"/>
    <col min="12800" max="12800" width="10.5703125" customWidth="1"/>
    <col min="12801" max="12802" width="13.140625" customWidth="1"/>
    <col min="12803" max="12804" width="12.42578125" customWidth="1"/>
    <col min="12805" max="12805" width="45.85546875" customWidth="1"/>
    <col min="13055" max="13055" width="15.85546875" customWidth="1"/>
    <col min="13056" max="13056" width="10.5703125" customWidth="1"/>
    <col min="13057" max="13058" width="13.140625" customWidth="1"/>
    <col min="13059" max="13060" width="12.42578125" customWidth="1"/>
    <col min="13061" max="13061" width="45.85546875" customWidth="1"/>
    <col min="13311" max="13311" width="15.85546875" customWidth="1"/>
    <col min="13312" max="13312" width="10.5703125" customWidth="1"/>
    <col min="13313" max="13314" width="13.140625" customWidth="1"/>
    <col min="13315" max="13316" width="12.42578125" customWidth="1"/>
    <col min="13317" max="13317" width="45.85546875" customWidth="1"/>
    <col min="13567" max="13567" width="15.85546875" customWidth="1"/>
    <col min="13568" max="13568" width="10.5703125" customWidth="1"/>
    <col min="13569" max="13570" width="13.140625" customWidth="1"/>
    <col min="13571" max="13572" width="12.42578125" customWidth="1"/>
    <col min="13573" max="13573" width="45.85546875" customWidth="1"/>
    <col min="13823" max="13823" width="15.85546875" customWidth="1"/>
    <col min="13824" max="13824" width="10.5703125" customWidth="1"/>
    <col min="13825" max="13826" width="13.140625" customWidth="1"/>
    <col min="13827" max="13828" width="12.42578125" customWidth="1"/>
    <col min="13829" max="13829" width="45.85546875" customWidth="1"/>
    <col min="14079" max="14079" width="15.85546875" customWidth="1"/>
    <col min="14080" max="14080" width="10.5703125" customWidth="1"/>
    <col min="14081" max="14082" width="13.140625" customWidth="1"/>
    <col min="14083" max="14084" width="12.42578125" customWidth="1"/>
    <col min="14085" max="14085" width="45.85546875" customWidth="1"/>
    <col min="14335" max="14335" width="15.85546875" customWidth="1"/>
    <col min="14336" max="14336" width="10.5703125" customWidth="1"/>
    <col min="14337" max="14338" width="13.140625" customWidth="1"/>
    <col min="14339" max="14340" width="12.42578125" customWidth="1"/>
    <col min="14341" max="14341" width="45.85546875" customWidth="1"/>
    <col min="14591" max="14591" width="15.85546875" customWidth="1"/>
    <col min="14592" max="14592" width="10.5703125" customWidth="1"/>
    <col min="14593" max="14594" width="13.140625" customWidth="1"/>
    <col min="14595" max="14596" width="12.42578125" customWidth="1"/>
    <col min="14597" max="14597" width="45.85546875" customWidth="1"/>
    <col min="14847" max="14847" width="15.85546875" customWidth="1"/>
    <col min="14848" max="14848" width="10.5703125" customWidth="1"/>
    <col min="14849" max="14850" width="13.140625" customWidth="1"/>
    <col min="14851" max="14852" width="12.42578125" customWidth="1"/>
    <col min="14853" max="14853" width="45.85546875" customWidth="1"/>
    <col min="15103" max="15103" width="15.85546875" customWidth="1"/>
    <col min="15104" max="15104" width="10.5703125" customWidth="1"/>
    <col min="15105" max="15106" width="13.140625" customWidth="1"/>
    <col min="15107" max="15108" width="12.42578125" customWidth="1"/>
    <col min="15109" max="15109" width="45.85546875" customWidth="1"/>
    <col min="15359" max="15359" width="15.85546875" customWidth="1"/>
    <col min="15360" max="15360" width="10.5703125" customWidth="1"/>
    <col min="15361" max="15362" width="13.140625" customWidth="1"/>
    <col min="15363" max="15364" width="12.42578125" customWidth="1"/>
    <col min="15365" max="15365" width="45.85546875" customWidth="1"/>
    <col min="15615" max="15615" width="15.85546875" customWidth="1"/>
    <col min="15616" max="15616" width="10.5703125" customWidth="1"/>
    <col min="15617" max="15618" width="13.140625" customWidth="1"/>
    <col min="15619" max="15620" width="12.42578125" customWidth="1"/>
    <col min="15621" max="15621" width="45.85546875" customWidth="1"/>
    <col min="15871" max="15871" width="15.85546875" customWidth="1"/>
    <col min="15872" max="15872" width="10.5703125" customWidth="1"/>
    <col min="15873" max="15874" width="13.140625" customWidth="1"/>
    <col min="15875" max="15876" width="12.42578125" customWidth="1"/>
    <col min="15877" max="15877" width="45.85546875" customWidth="1"/>
    <col min="16127" max="16127" width="15.85546875" customWidth="1"/>
    <col min="16128" max="16128" width="10.5703125" customWidth="1"/>
    <col min="16129" max="16130" width="13.140625" customWidth="1"/>
    <col min="16131" max="16132" width="12.42578125" customWidth="1"/>
    <col min="16133" max="16133" width="45.85546875" customWidth="1"/>
  </cols>
  <sheetData>
    <row r="1" spans="1:7" ht="25.5">
      <c r="A1" s="72"/>
      <c r="B1" s="73"/>
      <c r="C1" s="88" t="s">
        <v>81</v>
      </c>
      <c r="D1" s="88"/>
      <c r="E1" s="74" t="s">
        <v>82</v>
      </c>
    </row>
    <row r="2" spans="1:7" s="70" customFormat="1" ht="49.5" customHeight="1">
      <c r="A2" s="75" t="s">
        <v>83</v>
      </c>
      <c r="B2" s="73" t="s">
        <v>84</v>
      </c>
      <c r="C2" s="76" t="s">
        <v>85</v>
      </c>
      <c r="D2" s="76" t="s">
        <v>86</v>
      </c>
      <c r="E2" s="74" t="s">
        <v>87</v>
      </c>
    </row>
    <row r="3" spans="1:7" ht="38.25">
      <c r="A3" s="75" t="s">
        <v>88</v>
      </c>
      <c r="B3" s="77" t="s">
        <v>89</v>
      </c>
      <c r="C3" s="78">
        <f t="shared" ref="C3:C10" si="0">ROUND(D3*2.471/2.205,2)</f>
        <v>22.93</v>
      </c>
      <c r="D3" s="78">
        <f>ROUND(31*0.66,2)</f>
        <v>20.46</v>
      </c>
      <c r="E3" s="83" t="s">
        <v>129</v>
      </c>
    </row>
    <row r="4" spans="1:7" ht="51">
      <c r="A4" s="75" t="s">
        <v>90</v>
      </c>
      <c r="B4" s="77">
        <v>1</v>
      </c>
      <c r="C4" s="78">
        <f t="shared" si="0"/>
        <v>10.199999999999999</v>
      </c>
      <c r="D4" s="78">
        <f>ROUND(30.33*0.3,2)</f>
        <v>9.1</v>
      </c>
      <c r="E4" s="83" t="s">
        <v>117</v>
      </c>
    </row>
    <row r="5" spans="1:7" ht="25.5">
      <c r="A5" s="75" t="s">
        <v>91</v>
      </c>
      <c r="B5" s="77">
        <v>2</v>
      </c>
      <c r="C5" s="78">
        <f t="shared" si="0"/>
        <v>5</v>
      </c>
      <c r="D5" s="78">
        <v>4.46</v>
      </c>
      <c r="E5" s="83" t="s">
        <v>114</v>
      </c>
    </row>
    <row r="6" spans="1:7" ht="51">
      <c r="A6" s="75" t="s">
        <v>92</v>
      </c>
      <c r="B6" s="77" t="s">
        <v>93</v>
      </c>
      <c r="C6" s="78">
        <f t="shared" si="0"/>
        <v>5</v>
      </c>
      <c r="D6" s="78">
        <v>4.46</v>
      </c>
      <c r="E6" s="83" t="s">
        <v>115</v>
      </c>
      <c r="G6" t="s">
        <v>94</v>
      </c>
    </row>
    <row r="7" spans="1:7" ht="76.5">
      <c r="A7" s="75" t="s">
        <v>95</v>
      </c>
      <c r="B7" s="77" t="s">
        <v>96</v>
      </c>
      <c r="C7" s="78">
        <f t="shared" si="0"/>
        <v>1.21</v>
      </c>
      <c r="D7" s="78">
        <v>1.08</v>
      </c>
      <c r="E7" s="83" t="s">
        <v>116</v>
      </c>
      <c r="F7">
        <f>ROUND(3*0.25*2.205*107637/5000,2)</f>
        <v>35.6</v>
      </c>
    </row>
    <row r="8" spans="1:7" ht="76.5">
      <c r="A8" s="75" t="s">
        <v>122</v>
      </c>
      <c r="B8" s="77" t="s">
        <v>97</v>
      </c>
      <c r="C8" s="78">
        <f t="shared" si="0"/>
        <v>10.55</v>
      </c>
      <c r="D8" s="78">
        <f>ROUND(43560/5000*D7,2)</f>
        <v>9.41</v>
      </c>
      <c r="E8" s="79" t="s">
        <v>128</v>
      </c>
    </row>
    <row r="9" spans="1:7" ht="51">
      <c r="A9" s="75" t="s">
        <v>98</v>
      </c>
      <c r="B9" s="77">
        <v>7</v>
      </c>
      <c r="C9" s="78">
        <f t="shared" si="0"/>
        <v>26.7</v>
      </c>
      <c r="D9" s="78">
        <v>23.83</v>
      </c>
      <c r="E9" s="79" t="s">
        <v>99</v>
      </c>
    </row>
    <row r="10" spans="1:7" ht="38.25">
      <c r="A10" s="75" t="s">
        <v>100</v>
      </c>
      <c r="B10" s="77">
        <v>8</v>
      </c>
      <c r="C10" s="78">
        <f t="shared" si="0"/>
        <v>29.29</v>
      </c>
      <c r="D10" s="78">
        <f>3*43.56*0.2</f>
        <v>26.136000000000003</v>
      </c>
      <c r="E10" s="79" t="s">
        <v>101</v>
      </c>
    </row>
    <row r="11" spans="1:7" ht="51">
      <c r="A11" s="75" t="s">
        <v>102</v>
      </c>
      <c r="B11" s="77" t="s">
        <v>103</v>
      </c>
      <c r="C11" s="80">
        <f>ROUND(1.5*E17*0.9/39.25*1000*10000/1000000,2)</f>
        <v>16.440000000000001</v>
      </c>
      <c r="D11" s="78">
        <f>ROUND(C11*2.205/2.471,2)</f>
        <v>14.67</v>
      </c>
      <c r="E11" s="83" t="s">
        <v>113</v>
      </c>
    </row>
    <row r="12" spans="1:7" ht="25.5">
      <c r="A12" s="75" t="s">
        <v>104</v>
      </c>
      <c r="B12" s="77" t="s">
        <v>97</v>
      </c>
      <c r="C12" s="80">
        <f>ROUND(0.75*E17*0.9/39.25*1000*10000/1000000,2)</f>
        <v>8.2200000000000006</v>
      </c>
      <c r="D12" s="80">
        <f>ROUND(C12*2.205/2.471,2)</f>
        <v>7.34</v>
      </c>
      <c r="E12" s="79" t="s">
        <v>105</v>
      </c>
    </row>
    <row r="13" spans="1:7" ht="76.5">
      <c r="A13" s="75" t="s">
        <v>106</v>
      </c>
      <c r="B13" s="77">
        <v>20</v>
      </c>
      <c r="C13" s="78">
        <f>ROUND(1.09*E17*0.9/39.25*1000*10000/1000000,2)</f>
        <v>11.95</v>
      </c>
      <c r="D13" s="78">
        <f>ROUND(C13*2.205/2.471,2)</f>
        <v>10.66</v>
      </c>
      <c r="E13" s="79" t="s">
        <v>107</v>
      </c>
    </row>
    <row r="14" spans="1:7" ht="102">
      <c r="A14" s="75" t="s">
        <v>108</v>
      </c>
      <c r="B14" s="77" t="s">
        <v>109</v>
      </c>
      <c r="C14" s="80">
        <f>ROUND(0.072*27.25/39.25*1000*10000/1000000,2)</f>
        <v>0.5</v>
      </c>
      <c r="D14" s="80">
        <f>ROUND(C14*2.205/2.471,2)</f>
        <v>0.45</v>
      </c>
      <c r="E14" s="79" t="s">
        <v>110</v>
      </c>
    </row>
    <row r="15" spans="1:7" ht="38.25">
      <c r="A15" s="75" t="s">
        <v>118</v>
      </c>
      <c r="B15" s="77"/>
      <c r="C15" s="78">
        <f>D15/2.204</f>
        <v>5.4408426384375002</v>
      </c>
      <c r="D15" s="78">
        <f>26.25*E18*0.9*3.785*365/1000000*2.204</f>
        <v>11.991617175116252</v>
      </c>
      <c r="E15" s="83" t="s">
        <v>121</v>
      </c>
    </row>
    <row r="16" spans="1:7">
      <c r="A16" s="89" t="s">
        <v>111</v>
      </c>
      <c r="B16" s="89"/>
      <c r="C16" s="89"/>
      <c r="D16" s="89"/>
      <c r="E16" s="89"/>
    </row>
    <row r="17" spans="1:8">
      <c r="A17" s="90" t="s">
        <v>112</v>
      </c>
      <c r="B17" s="91"/>
      <c r="C17" s="91"/>
      <c r="D17" s="91"/>
      <c r="E17" s="82">
        <v>47.8</v>
      </c>
    </row>
    <row r="18" spans="1:8">
      <c r="A18" s="94" t="s">
        <v>120</v>
      </c>
      <c r="B18" s="91"/>
      <c r="C18" s="91"/>
      <c r="D18" s="91"/>
      <c r="E18" s="84">
        <v>166.7</v>
      </c>
      <c r="H18">
        <f>150/0.9</f>
        <v>166.66666666666666</v>
      </c>
    </row>
    <row r="19" spans="1:8" ht="30" customHeight="1">
      <c r="A19" s="92" t="s">
        <v>119</v>
      </c>
      <c r="B19" s="93"/>
      <c r="C19" s="93"/>
      <c r="D19" s="93"/>
    </row>
    <row r="20" spans="1:8">
      <c r="A20" s="70"/>
      <c r="C20" s="69"/>
      <c r="D20" s="69"/>
    </row>
    <row r="21" spans="1:8">
      <c r="A21" s="70"/>
      <c r="C21" s="69"/>
      <c r="D21" s="69"/>
    </row>
    <row r="22" spans="1:8">
      <c r="A22" s="70"/>
      <c r="C22" s="69"/>
      <c r="D22" s="69"/>
    </row>
    <row r="23" spans="1:8">
      <c r="A23" s="70"/>
      <c r="C23" s="69"/>
      <c r="D23" s="69"/>
    </row>
    <row r="24" spans="1:8">
      <c r="A24" s="70"/>
      <c r="C24" s="69"/>
      <c r="D24" s="69"/>
    </row>
  </sheetData>
  <mergeCells count="5">
    <mergeCell ref="C1:D1"/>
    <mergeCell ref="A16:E16"/>
    <mergeCell ref="A17:D17"/>
    <mergeCell ref="A19:D19"/>
    <mergeCell ref="A18:D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H11"/>
  <sheetViews>
    <sheetView tabSelected="1" workbookViewId="0">
      <selection activeCell="A11" sqref="A11"/>
    </sheetView>
  </sheetViews>
  <sheetFormatPr defaultRowHeight="12.75"/>
  <cols>
    <col min="1" max="1" width="12" customWidth="1"/>
  </cols>
  <sheetData>
    <row r="1" spans="1:8">
      <c r="A1" s="97" t="s">
        <v>130</v>
      </c>
      <c r="B1" s="95"/>
      <c r="C1" s="95"/>
      <c r="D1" s="95"/>
      <c r="E1" s="95"/>
      <c r="F1" s="95"/>
      <c r="G1" s="95"/>
      <c r="H1" s="98" t="s">
        <v>131</v>
      </c>
    </row>
    <row r="2" spans="1:8">
      <c r="A2" s="96" t="s">
        <v>132</v>
      </c>
      <c r="B2" s="95"/>
      <c r="C2" s="95"/>
      <c r="D2" s="95"/>
      <c r="E2" s="95"/>
      <c r="F2" s="95"/>
      <c r="G2" s="95"/>
      <c r="H2" s="95"/>
    </row>
    <row r="4" spans="1:8">
      <c r="A4" s="97" t="s">
        <v>133</v>
      </c>
      <c r="B4" s="95"/>
      <c r="C4" s="98" t="s">
        <v>137</v>
      </c>
      <c r="D4" s="95"/>
      <c r="E4" s="95"/>
      <c r="F4" s="95"/>
      <c r="G4" s="95"/>
      <c r="H4" s="95"/>
    </row>
    <row r="5" spans="1:8">
      <c r="C5" s="98"/>
    </row>
    <row r="9" spans="1:8">
      <c r="A9" s="95" t="s">
        <v>134</v>
      </c>
      <c r="B9" s="95"/>
      <c r="C9" s="95"/>
      <c r="D9" s="95"/>
      <c r="E9" s="95"/>
      <c r="F9" s="95"/>
      <c r="G9" s="95"/>
      <c r="H9" s="95"/>
    </row>
    <row r="10" spans="1:8">
      <c r="A10" s="99">
        <v>40456</v>
      </c>
      <c r="B10" s="95" t="s">
        <v>135</v>
      </c>
      <c r="C10" s="95"/>
      <c r="D10" s="95"/>
      <c r="E10" s="95"/>
      <c r="F10" s="95"/>
      <c r="G10" s="95"/>
      <c r="H10" s="95"/>
    </row>
    <row r="11" spans="1:8">
      <c r="A11" s="99">
        <v>40830</v>
      </c>
      <c r="B11" s="95" t="s">
        <v>136</v>
      </c>
      <c r="C11" s="95"/>
      <c r="D11" s="95"/>
      <c r="E11" s="95"/>
      <c r="F11" s="95"/>
      <c r="G11" s="95"/>
      <c r="H11" s="95"/>
    </row>
  </sheetData>
  <hyperlinks>
    <hyperlink ref="C4" r:id="rId1"/>
    <hyperlink ref="H1"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summary_loads</vt:lpstr>
      <vt:lpstr>STORM-CSO</vt:lpstr>
      <vt:lpstr>coefficients</vt:lpstr>
      <vt:lpstr>ReadMe</vt:lpstr>
    </vt:vector>
  </TitlesOfParts>
  <Company>BBP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J</cp:lastModifiedBy>
  <cp:lastPrinted>2010-04-30T04:33:51Z</cp:lastPrinted>
  <dcterms:created xsi:type="dcterms:W3CDTF">2010-04-27T23:02:58Z</dcterms:created>
  <dcterms:modified xsi:type="dcterms:W3CDTF">2011-10-19T23:59:11Z</dcterms:modified>
</cp:coreProperties>
</file>